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1 FinPlanas" sheetId="1" r:id="rId1"/>
    <sheet name="2 FinPlanas" sheetId="2" r:id="rId2"/>
    <sheet name="3 FinPlanas" sheetId="3" r:id="rId3"/>
    <sheet name="4 FinPlanas" sheetId="4" r:id="rId4"/>
    <sheet name="5 FinPlanas" sheetId="5" r:id="rId5"/>
  </sheets>
  <definedNames>
    <definedName name="_xlnm.Print_Area" localSheetId="0">'1 FinPlanas'!$A$1:$I$73</definedName>
    <definedName name="_xlnm.Print_Area" localSheetId="1">'2 FinPlanas'!$A$1:$I$73</definedName>
    <definedName name="_xlnm.Print_Area" localSheetId="2">'3 FinPlanas'!$A$1:$I$73</definedName>
    <definedName name="_xlnm.Print_Area" localSheetId="3">'4 FinPlanas'!$A$1:$I$76</definedName>
    <definedName name="_xlnm.Print_Area" localSheetId="4">'5 FinPlanas'!$A$1:$I$76</definedName>
  </definedNames>
  <calcPr fullCalcOnLoad="1"/>
</workbook>
</file>

<file path=xl/comments1.xml><?xml version="1.0" encoding="utf-8"?>
<comments xmlns="http://schemas.openxmlformats.org/spreadsheetml/2006/main">
  <authors>
    <author>RZ</author>
    <author>Rimas</author>
  </authors>
  <commentList>
    <comment ref="C29"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28" authorId="0">
      <text>
        <r>
          <rPr>
            <sz val="8"/>
            <rFont val="Tahoma"/>
            <family val="0"/>
          </rPr>
          <t xml:space="preserve">Į mėlynus laukus duomenys neįvedami. Šiam lauke paruoštos sąnaudos S formulei.
</t>
        </r>
      </text>
    </comment>
    <comment ref="C67"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6" authorId="1">
      <text>
        <r>
          <rPr>
            <sz val="8"/>
            <rFont val="Tahoma"/>
            <family val="0"/>
          </rPr>
          <t xml:space="preserve">Visos metinės išlaidos laikomos įvykusiomis tų metų pabaigoje ir diskontuojamos į projekto pradžią (0 metų pabaigą = 1 metų pradžią).
</t>
        </r>
      </text>
    </comment>
    <comment ref="C25"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0"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2.xml><?xml version="1.0" encoding="utf-8"?>
<comments xmlns="http://schemas.openxmlformats.org/spreadsheetml/2006/main">
  <authors>
    <author>RZ</author>
    <author>Rimas</author>
  </authors>
  <commentList>
    <comment ref="C29"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28" authorId="0">
      <text>
        <r>
          <rPr>
            <sz val="8"/>
            <rFont val="Tahoma"/>
            <family val="0"/>
          </rPr>
          <t xml:space="preserve">Į mėlynus laukus duomenys neįvedami. Šiam lauke paruoštos sąnaudos S formulei.
</t>
        </r>
      </text>
    </comment>
    <comment ref="C67"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6" authorId="1">
      <text>
        <r>
          <rPr>
            <sz val="8"/>
            <rFont val="Tahoma"/>
            <family val="0"/>
          </rPr>
          <t xml:space="preserve">Visos metinės išlaidos laikomos įvykusiomis tų metų pabaigoje ir diskontuojamos į projekto pradžią (0 metų pabaigą = 1 metų pradžią).
</t>
        </r>
      </text>
    </comment>
    <comment ref="C25"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0"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3.xml><?xml version="1.0" encoding="utf-8"?>
<comments xmlns="http://schemas.openxmlformats.org/spreadsheetml/2006/main">
  <authors>
    <author>RZ</author>
    <author>Rimas</author>
  </authors>
  <commentList>
    <comment ref="C29"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28" authorId="0">
      <text>
        <r>
          <rPr>
            <sz val="8"/>
            <rFont val="Tahoma"/>
            <family val="0"/>
          </rPr>
          <t xml:space="preserve">Į mėlynus laukus duomenys neįvedami. Šiam lauke paruoštos sąnaudos S formulei.
</t>
        </r>
      </text>
    </comment>
    <comment ref="C67"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6" authorId="1">
      <text>
        <r>
          <rPr>
            <sz val="8"/>
            <rFont val="Tahoma"/>
            <family val="0"/>
          </rPr>
          <t xml:space="preserve">Visos metinės išlaidos laikomos įvykusiomis tų metų pabaigoje ir diskontuojamos į projekto pradžią (0 metų pabaigą = 1 metų pradžią).
</t>
        </r>
      </text>
    </comment>
    <comment ref="C25"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0"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4.xml><?xml version="1.0" encoding="utf-8"?>
<comments xmlns="http://schemas.openxmlformats.org/spreadsheetml/2006/main">
  <authors>
    <author>RZ</author>
    <author>Rimas</author>
  </authors>
  <commentList>
    <comment ref="C29"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28"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6" authorId="1">
      <text>
        <r>
          <rPr>
            <sz val="8"/>
            <rFont val="Tahoma"/>
            <family val="0"/>
          </rPr>
          <t xml:space="preserve">Visos metinės išlaidos laikomos įvykusiomis tų metų pabaigoje ir diskontuojamos į projekto pradžią (0 metų pabaigą = 1 metų pradžią).
</t>
        </r>
      </text>
    </comment>
    <comment ref="C25"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0"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5.xml><?xml version="1.0" encoding="utf-8"?>
<comments xmlns="http://schemas.openxmlformats.org/spreadsheetml/2006/main">
  <authors>
    <author>RZ</author>
    <author>Rimas</author>
  </authors>
  <commentList>
    <comment ref="C29"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28"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6" authorId="1">
      <text>
        <r>
          <rPr>
            <sz val="8"/>
            <rFont val="Tahoma"/>
            <family val="0"/>
          </rPr>
          <t xml:space="preserve">Visos metinės išlaidos laikomos įvykusiomis tų metų pabaigoje ir diskontuojamos į projekto pradžią (0 metų pabaigą = 1 metų pradžią).
</t>
        </r>
      </text>
    </comment>
    <comment ref="C25"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0"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sharedStrings.xml><?xml version="1.0" encoding="utf-8"?>
<sst xmlns="http://schemas.openxmlformats.org/spreadsheetml/2006/main" count="467" uniqueCount="72">
  <si>
    <t>Rodiklis</t>
  </si>
  <si>
    <t>Mat. vienetas</t>
  </si>
  <si>
    <t>Diskonto norma</t>
  </si>
  <si>
    <t>%</t>
  </si>
  <si>
    <t>Šilumos gamybos būdas:</t>
  </si>
  <si>
    <t>Metai:</t>
  </si>
  <si>
    <t>metų</t>
  </si>
  <si>
    <t>kWh</t>
  </si>
  <si>
    <t>ct/kWh</t>
  </si>
  <si>
    <t xml:space="preserve">     Investicijos:</t>
  </si>
  <si>
    <t>A) Katilinė</t>
  </si>
  <si>
    <t>B) Tinklas</t>
  </si>
  <si>
    <t>C) Kitos investicijos</t>
  </si>
  <si>
    <t>D) Kuras</t>
  </si>
  <si>
    <t>E) Elektros energija</t>
  </si>
  <si>
    <t xml:space="preserve">     Eksploatacinės išlaidos:</t>
  </si>
  <si>
    <t>G) Kitos eksploatacinės išlaidos</t>
  </si>
  <si>
    <t>Lt</t>
  </si>
  <si>
    <t>F) Darbo užmokestis (su soc. draudimu)</t>
  </si>
  <si>
    <t>Tinklo diskontuotų sąnaudų suma =</t>
  </si>
  <si>
    <t>Sąnaudos (Investicijos + Eksploatacinės):</t>
  </si>
  <si>
    <t>Projekto gyvenimo trukmė (katilai ir pagrindiniai technologiniai įrengimai)</t>
  </si>
  <si>
    <t>Koeficientas perskaičiavimui į projekto gyvenimo trukmę</t>
  </si>
  <si>
    <r>
      <t xml:space="preserve">                            </t>
    </r>
    <r>
      <rPr>
        <i/>
        <sz val="12"/>
        <rFont val="Arial"/>
        <family val="2"/>
      </rPr>
      <t>Investicijos VISO - nediskontuotos:</t>
    </r>
  </si>
  <si>
    <r>
      <t xml:space="preserve">      </t>
    </r>
    <r>
      <rPr>
        <i/>
        <sz val="12"/>
        <rFont val="Arial"/>
        <family val="2"/>
      </rPr>
      <t>Eksploatacinės išlaidos VISO - nediskontuotos:</t>
    </r>
  </si>
  <si>
    <t>Išeities duomenys ir prielaidos:</t>
  </si>
  <si>
    <t>Pagamintos šilumos savikainos skaičiavimas</t>
  </si>
  <si>
    <t>Tūkst.Lt</t>
  </si>
  <si>
    <t>Šilumos siurblys "VAILLANT geoTHERM" VWS 460-2, 3 vienetai</t>
  </si>
  <si>
    <t>Šilumos siurblių įrengimas (medžiagos + darbas)</t>
  </si>
  <si>
    <t>27 gręžiniai šilumos siurbliams po 100 m gylio</t>
  </si>
  <si>
    <t>Ievos kalno ir Rėzos šilumos tiekimo sistemų sujungimo darbai</t>
  </si>
  <si>
    <t xml:space="preserve">Šilumos punktų pas vartotojus pertvarkymas </t>
  </si>
  <si>
    <t>Elektros kaina</t>
  </si>
  <si>
    <t>Šilumos siurblių efektyvumas (COP)</t>
  </si>
  <si>
    <t>Šilumos siurblys "VAILLANT geoTHERM" VWS 460-2, 3 vien.</t>
  </si>
  <si>
    <t>Šilumos punktų pas vartotojus pertvarkymas</t>
  </si>
  <si>
    <t>Šilumos siurblių darbo nominalia galia trukmė</t>
  </si>
  <si>
    <t>Šilumos siurblių darbo 50% galios trukmė</t>
  </si>
  <si>
    <t>Dienų/metus</t>
  </si>
  <si>
    <t>Sutaupymai:</t>
  </si>
  <si>
    <t>Pagaminta šilumos šilumos siurbliais</t>
  </si>
  <si>
    <t>Šilumos siurbliais pagaminta šilumos</t>
  </si>
  <si>
    <t>MWh/metus</t>
  </si>
  <si>
    <t>Elektros energija siurbliams</t>
  </si>
  <si>
    <t>Išlaidos elektros energijai</t>
  </si>
  <si>
    <t>Tūkst.Lt/metus</t>
  </si>
  <si>
    <t>Šiam šilumos kiekiui pagaminti reikia suskystintų dujų</t>
  </si>
  <si>
    <t>t/metus</t>
  </si>
  <si>
    <t>Suskystintų dujų katilo NVK</t>
  </si>
  <si>
    <t>Suskystintų dujų žemutinė šiluminė vertė</t>
  </si>
  <si>
    <t>kcal/kg</t>
  </si>
  <si>
    <t>Išlaidos suskystintoms dujoms pirkti</t>
  </si>
  <si>
    <t>Suskystintų dujų kaina</t>
  </si>
  <si>
    <t>Lt/t</t>
  </si>
  <si>
    <t xml:space="preserve">Šilumos siurblio gyvenimo laikotarpis </t>
  </si>
  <si>
    <t>Metų</t>
  </si>
  <si>
    <t>4 variantas. Dalies suskystintų dujų pakeitimas geotermine energija</t>
  </si>
  <si>
    <t xml:space="preserve">1 kWh pagamintos šilumos savikaina       (bazinio varianto savikainos pokytis) </t>
  </si>
  <si>
    <r>
      <t xml:space="preserve">Nidoje ir Juodkrantėje įrengiami šilumos siurbliai bendros 132 kW galios. Nidos Pamario katilinėje įrengiamas vienas 44 kW galios šilumos siurblys "VAILLANT geoTHERM" VWS 460-2, o Juodkrantės Rėzos katilinėje įrengiami 2 tokie pat šilumos siurbliai. Kiekvienam siurbliui išgręžiami po 9 100 m. gylio gręžinius. Ievos kalno šilumos tiekimo sistema sujungiama su Rėzos sistema, nutiesiant 100 m ilgio jungiantį vamzdyną. Šilumos siurbliai pakelia grįžtamo šilumnešio temperatūrą nuo 38-40 </t>
    </r>
    <r>
      <rPr>
        <vertAlign val="superscript"/>
        <sz val="12"/>
        <rFont val="Arial"/>
        <family val="2"/>
      </rPr>
      <t>o</t>
    </r>
    <r>
      <rPr>
        <sz val="12"/>
        <rFont val="Arial"/>
        <family val="2"/>
      </rPr>
      <t xml:space="preserve">C iki 47 </t>
    </r>
    <r>
      <rPr>
        <vertAlign val="superscript"/>
        <sz val="12"/>
        <rFont val="Arial"/>
        <family val="2"/>
      </rPr>
      <t>o</t>
    </r>
    <r>
      <rPr>
        <sz val="12"/>
        <rFont val="Arial"/>
        <family val="2"/>
      </rPr>
      <t xml:space="preserve">C, o suskystintų dujų katilu šilumnešio temperatūra papildomai pakeliama nuo 47 </t>
    </r>
    <r>
      <rPr>
        <vertAlign val="superscript"/>
        <sz val="12"/>
        <rFont val="Arial"/>
        <family val="2"/>
      </rPr>
      <t>o</t>
    </r>
    <r>
      <rPr>
        <sz val="12"/>
        <rFont val="Arial"/>
        <family val="2"/>
      </rPr>
      <t xml:space="preserve">C iki reikiamos. Šilumos siurbliai dirba nominalia galia šildymo sezono metu, o kitu laiku, kai reikia ruošti tik karštą vandenį - 50% instaliuotos galios. Vieno siurblio gręžiniams įrengti reikalingas 16 m x 16 m dydžio sklypas, dviejų siurblių 16 m x 40 m dydžio sklypas. Kad užtikrinti žemą grįžtamo šilumnešio temperatūrą apie 38-40 </t>
    </r>
    <r>
      <rPr>
        <vertAlign val="superscript"/>
        <sz val="12"/>
        <rFont val="Arial"/>
        <family val="2"/>
      </rPr>
      <t>o</t>
    </r>
    <r>
      <rPr>
        <sz val="12"/>
        <rFont val="Arial"/>
        <family val="2"/>
      </rPr>
      <t xml:space="preserve">C, sureguliuojami ir, jei reikia, pertvarkomi vartotojų šilumos punktai, įrengiant papildomą karšto vandens ruošimo šilumokaitį.    </t>
    </r>
    <r>
      <rPr>
        <sz val="10"/>
        <rFont val="Arial"/>
        <family val="0"/>
      </rPr>
      <t xml:space="preserve">     </t>
    </r>
  </si>
  <si>
    <t xml:space="preserve">   tas pats, įvertinus 40 m. tinklo gyvenimo laikotarpį</t>
  </si>
  <si>
    <t>Tinklo ir gręžinių gyvenimo trukmė</t>
  </si>
  <si>
    <t xml:space="preserve">   tas pats, įvertinus 40 m. gręžinių gyvenimo laikotarpį</t>
  </si>
  <si>
    <t>1 finansavimo planas</t>
  </si>
  <si>
    <t>4 finansavimo planas</t>
  </si>
  <si>
    <t>5 finansavimo planas</t>
  </si>
  <si>
    <t>3 finansavimo planas</t>
  </si>
  <si>
    <t>2 finansavimo planas</t>
  </si>
  <si>
    <t>Paskola</t>
  </si>
  <si>
    <t>Paskolos aptarnavimas (grąžinimai + 10% palūkanos)</t>
  </si>
  <si>
    <t>Paskolos administravimo mokestis (1% nuo paskolos sumos)</t>
  </si>
  <si>
    <t>Paskolos aptarnavimas (grąžinimai + 8% palūkanos)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</si>
</sst>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52">
    <font>
      <sz val="10"/>
      <name val="Arial"/>
      <family val="0"/>
    </font>
    <font>
      <sz val="12"/>
      <name val="Arial"/>
      <family val="0"/>
    </font>
    <font>
      <sz val="14"/>
      <name val="Arial"/>
      <family val="0"/>
    </font>
    <font>
      <sz val="8"/>
      <name val="Arial"/>
      <family val="0"/>
    </font>
    <font>
      <sz val="11"/>
      <name val="Arial"/>
      <family val="2"/>
    </font>
    <font>
      <b/>
      <sz val="10"/>
      <name val="Arial"/>
      <family val="2"/>
    </font>
    <font>
      <i/>
      <sz val="10"/>
      <name val="Arial"/>
      <family val="2"/>
    </font>
    <font>
      <u val="single"/>
      <sz val="10"/>
      <name val="Arial"/>
      <family val="0"/>
    </font>
    <font>
      <i/>
      <sz val="12"/>
      <name val="Arial"/>
      <family val="2"/>
    </font>
    <font>
      <sz val="8"/>
      <name val="Tahoma"/>
      <family val="0"/>
    </font>
    <font>
      <b/>
      <sz val="8"/>
      <name val="Tahoma"/>
      <family val="2"/>
    </font>
    <font>
      <sz val="10"/>
      <color indexed="40"/>
      <name val="Arial"/>
      <family val="0"/>
    </font>
    <font>
      <b/>
      <sz val="12"/>
      <name val="Arial"/>
      <family val="2"/>
    </font>
    <font>
      <i/>
      <sz val="14"/>
      <color indexed="12"/>
      <name val="Arial"/>
      <family val="2"/>
    </font>
    <font>
      <sz val="16"/>
      <name val="Arial"/>
      <family val="0"/>
    </font>
    <font>
      <sz val="11"/>
      <color indexed="12"/>
      <name val="Arial"/>
      <family val="0"/>
    </font>
    <font>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double"/>
      <top style="double"/>
      <bottom style="double"/>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double"/>
      <bottom style="double"/>
    </border>
    <border>
      <left style="thin"/>
      <right style="double"/>
      <top style="medium"/>
      <bottom style="double"/>
    </border>
    <border>
      <left style="hair"/>
      <right>
        <color indexed="63"/>
      </right>
      <top style="double"/>
      <bottom style="double"/>
    </border>
    <border>
      <left style="medium"/>
      <right style="medium"/>
      <top style="medium"/>
      <bottom style="thin"/>
    </border>
    <border>
      <left style="medium"/>
      <right style="medium"/>
      <top style="thin"/>
      <bottom style="medium"/>
    </border>
    <border>
      <left style="double"/>
      <right style="hair"/>
      <top style="double"/>
      <bottom style="double"/>
    </border>
    <border>
      <left style="double"/>
      <right style="double"/>
      <top style="double"/>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4" applyNumberFormat="0" applyAlignment="0" applyProtection="0"/>
    <xf numFmtId="0" fontId="43"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2"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0" fillId="0" borderId="0" xfId="0" applyFont="1" applyAlignment="1">
      <alignment/>
    </xf>
    <xf numFmtId="0" fontId="0" fillId="0" borderId="0" xfId="0" applyFont="1" applyAlignment="1">
      <alignment wrapText="1"/>
    </xf>
    <xf numFmtId="0" fontId="11"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3" borderId="12" xfId="0" applyFill="1" applyBorder="1" applyAlignment="1">
      <alignment wrapText="1"/>
    </xf>
    <xf numFmtId="0" fontId="8" fillId="33" borderId="12" xfId="0" applyFont="1"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Alignment="1">
      <alignment wrapText="1"/>
    </xf>
    <xf numFmtId="0" fontId="0" fillId="0" borderId="14" xfId="0" applyBorder="1" applyAlignment="1">
      <alignment/>
    </xf>
    <xf numFmtId="0" fontId="4" fillId="33" borderId="15" xfId="0" applyFont="1" applyFill="1" applyBorder="1" applyAlignment="1">
      <alignment/>
    </xf>
    <xf numFmtId="0" fontId="13" fillId="33" borderId="0" xfId="0" applyFont="1" applyFill="1" applyAlignment="1">
      <alignment/>
    </xf>
    <xf numFmtId="0" fontId="0" fillId="34" borderId="0" xfId="0" applyFill="1" applyAlignment="1">
      <alignment/>
    </xf>
    <xf numFmtId="0" fontId="0" fillId="0" borderId="0" xfId="0" applyFill="1" applyBorder="1" applyAlignment="1">
      <alignment horizontal="center"/>
    </xf>
    <xf numFmtId="0" fontId="15" fillId="33"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Border="1" applyAlignment="1">
      <alignment horizontal="center"/>
    </xf>
    <xf numFmtId="0" fontId="0" fillId="33" borderId="17" xfId="0" applyFont="1" applyFill="1" applyBorder="1" applyAlignment="1">
      <alignment horizontal="center" vertical="top"/>
    </xf>
    <xf numFmtId="0" fontId="0" fillId="0" borderId="0" xfId="0" applyBorder="1" applyAlignment="1">
      <alignment horizontal="left" vertical="top"/>
    </xf>
    <xf numFmtId="0" fontId="1" fillId="33" borderId="18" xfId="0" applyFont="1" applyFill="1" applyBorder="1" applyAlignment="1">
      <alignment horizontal="center"/>
    </xf>
    <xf numFmtId="0" fontId="0" fillId="33" borderId="13" xfId="0" applyFill="1" applyBorder="1" applyAlignment="1">
      <alignment horizontal="center"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0" borderId="0" xfId="0" applyFont="1" applyBorder="1" applyAlignment="1">
      <alignment horizontal="right" vertical="top"/>
    </xf>
    <xf numFmtId="0" fontId="0" fillId="36" borderId="0" xfId="0" applyFont="1" applyFill="1" applyAlignment="1">
      <alignment/>
    </xf>
    <xf numFmtId="0" fontId="0" fillId="36" borderId="0" xfId="0" applyFont="1" applyFill="1" applyBorder="1" applyAlignment="1">
      <alignment horizontal="center" vertical="top"/>
    </xf>
    <xf numFmtId="0" fontId="0" fillId="36" borderId="0" xfId="0" applyFont="1" applyFill="1" applyBorder="1" applyAlignment="1">
      <alignment horizontal="right" vertical="top"/>
    </xf>
    <xf numFmtId="0" fontId="0" fillId="36" borderId="0" xfId="0" applyFill="1" applyAlignment="1">
      <alignment/>
    </xf>
    <xf numFmtId="0" fontId="0" fillId="36" borderId="0" xfId="0" applyFill="1" applyAlignment="1">
      <alignment horizontal="center"/>
    </xf>
    <xf numFmtId="2" fontId="0" fillId="0" borderId="0" xfId="0" applyNumberFormat="1" applyAlignment="1">
      <alignment/>
    </xf>
    <xf numFmtId="2" fontId="0" fillId="36" borderId="0" xfId="0" applyNumberFormat="1" applyFill="1" applyAlignment="1">
      <alignment/>
    </xf>
    <xf numFmtId="2" fontId="0" fillId="35" borderId="0" xfId="0" applyNumberFormat="1" applyFill="1" applyAlignment="1">
      <alignment/>
    </xf>
    <xf numFmtId="0" fontId="0" fillId="0" borderId="0" xfId="0" applyFont="1" applyFill="1" applyBorder="1" applyAlignment="1">
      <alignment horizontal="right" vertical="top"/>
    </xf>
    <xf numFmtId="172" fontId="0" fillId="36" borderId="0" xfId="0" applyNumberFormat="1" applyFill="1" applyAlignment="1">
      <alignment/>
    </xf>
    <xf numFmtId="0" fontId="12" fillId="33" borderId="21" xfId="0" applyFont="1" applyFill="1" applyBorder="1" applyAlignment="1">
      <alignment wrapText="1"/>
    </xf>
    <xf numFmtId="0" fontId="5" fillId="36" borderId="0" xfId="0" applyFont="1" applyFill="1" applyAlignment="1">
      <alignment/>
    </xf>
    <xf numFmtId="0" fontId="0" fillId="0" borderId="0" xfId="0" applyAlignment="1">
      <alignment/>
    </xf>
    <xf numFmtId="0" fontId="14" fillId="35" borderId="0" xfId="0" applyFont="1" applyFill="1" applyBorder="1" applyAlignment="1">
      <alignment vertical="top"/>
    </xf>
    <xf numFmtId="0" fontId="0" fillId="37" borderId="0" xfId="0" applyFill="1" applyAlignment="1">
      <alignment/>
    </xf>
    <xf numFmtId="2" fontId="0" fillId="37" borderId="0" xfId="0" applyNumberFormat="1" applyFill="1" applyAlignment="1">
      <alignment/>
    </xf>
    <xf numFmtId="0" fontId="0" fillId="37" borderId="0" xfId="0" applyFont="1" applyFill="1" applyAlignment="1">
      <alignment wrapText="1"/>
    </xf>
    <xf numFmtId="0" fontId="0" fillId="37" borderId="0" xfId="0" applyFill="1" applyAlignment="1">
      <alignment horizontal="center"/>
    </xf>
    <xf numFmtId="0" fontId="0" fillId="37" borderId="0" xfId="0" applyFill="1" applyBorder="1" applyAlignment="1">
      <alignment/>
    </xf>
    <xf numFmtId="2" fontId="0" fillId="37" borderId="0" xfId="0" applyNumberFormat="1" applyFill="1" applyBorder="1" applyAlignment="1">
      <alignment/>
    </xf>
    <xf numFmtId="0" fontId="0" fillId="37" borderId="0" xfId="0" applyFont="1" applyFill="1" applyAlignment="1">
      <alignment vertical="center" wrapText="1"/>
    </xf>
    <xf numFmtId="173" fontId="1" fillId="33" borderId="22" xfId="0" applyNumberFormat="1" applyFont="1" applyFill="1" applyBorder="1" applyAlignment="1">
      <alignment/>
    </xf>
    <xf numFmtId="0" fontId="0" fillId="0" borderId="23" xfId="0" applyFont="1" applyFill="1"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Font="1" applyFill="1"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0" xfId="0" applyAlignment="1">
      <alignment horizontal="left" vertical="top"/>
    </xf>
    <xf numFmtId="0" fontId="0" fillId="0" borderId="26" xfId="0" applyFont="1" applyFill="1"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14" fillId="35" borderId="28" xfId="0" applyFont="1" applyFill="1" applyBorder="1" applyAlignment="1">
      <alignment vertical="top"/>
    </xf>
    <xf numFmtId="0" fontId="0" fillId="0" borderId="0" xfId="0" applyBorder="1" applyAlignment="1">
      <alignment vertical="top"/>
    </xf>
    <xf numFmtId="0" fontId="0" fillId="0" borderId="0" xfId="0" applyAlignment="1">
      <alignment/>
    </xf>
    <xf numFmtId="0" fontId="14" fillId="35" borderId="0" xfId="0" applyFont="1" applyFill="1" applyBorder="1" applyAlignment="1">
      <alignment vertical="top"/>
    </xf>
    <xf numFmtId="0" fontId="1" fillId="0" borderId="29"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4" fillId="33" borderId="32" xfId="0" applyFont="1" applyFill="1" applyBorder="1" applyAlignment="1">
      <alignment horizontal="left" vertical="top"/>
    </xf>
    <xf numFmtId="0" fontId="4" fillId="0" borderId="33" xfId="0" applyFont="1" applyBorder="1" applyAlignment="1">
      <alignment vertical="top"/>
    </xf>
    <xf numFmtId="0" fontId="4" fillId="0" borderId="34" xfId="0" applyFont="1" applyBorder="1" applyAlignment="1">
      <alignment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73"/>
  <sheetViews>
    <sheetView tabSelected="1" zoomScalePageLayoutView="0" workbookViewId="0" topLeftCell="A54">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5" t="s">
        <v>26</v>
      </c>
      <c r="B1" s="76"/>
      <c r="C1" s="77"/>
      <c r="D1" s="77"/>
      <c r="E1" s="2"/>
    </row>
    <row r="2" spans="1:5" ht="24" customHeight="1">
      <c r="A2" s="78" t="s">
        <v>57</v>
      </c>
      <c r="B2" s="77"/>
      <c r="C2" s="77"/>
      <c r="D2" s="77"/>
      <c r="E2" s="2"/>
    </row>
    <row r="3" spans="1:5" ht="24" customHeight="1">
      <c r="A3" s="56" t="s">
        <v>63</v>
      </c>
      <c r="B3" s="55"/>
      <c r="C3" s="55"/>
      <c r="D3" s="55"/>
      <c r="E3" s="2"/>
    </row>
    <row r="4" spans="1:5" ht="12" customHeight="1">
      <c r="A4" s="5"/>
      <c r="B4" s="2"/>
      <c r="C4" s="2"/>
      <c r="D4" s="2"/>
      <c r="E4" s="2"/>
    </row>
    <row r="5" spans="1:5" ht="12" customHeight="1" thickBot="1">
      <c r="A5" s="25" t="s">
        <v>4</v>
      </c>
      <c r="B5" s="2"/>
      <c r="C5" s="2"/>
      <c r="D5" s="2"/>
      <c r="E5" s="2"/>
    </row>
    <row r="6" spans="1:9" ht="132.75" customHeight="1" thickBot="1">
      <c r="A6" s="79" t="s">
        <v>59</v>
      </c>
      <c r="B6" s="80"/>
      <c r="C6" s="80"/>
      <c r="D6" s="80"/>
      <c r="E6" s="80"/>
      <c r="F6" s="80"/>
      <c r="G6" s="80"/>
      <c r="H6" s="80"/>
      <c r="I6" s="81"/>
    </row>
    <row r="7" spans="1:9" ht="15" customHeight="1" thickBot="1">
      <c r="A7" s="82" t="s">
        <v>25</v>
      </c>
      <c r="B7" s="83"/>
      <c r="C7" s="84"/>
      <c r="D7" s="36" t="s">
        <v>1</v>
      </c>
      <c r="E7" s="33"/>
      <c r="F7" s="33"/>
      <c r="G7" s="33"/>
      <c r="H7" s="33"/>
      <c r="I7" s="33"/>
    </row>
    <row r="8" spans="1:9" ht="15" customHeight="1" thickTop="1">
      <c r="A8" s="72" t="s">
        <v>28</v>
      </c>
      <c r="B8" s="73"/>
      <c r="C8" s="74"/>
      <c r="D8" s="34" t="s">
        <v>27</v>
      </c>
      <c r="E8" s="42">
        <v>143.6</v>
      </c>
      <c r="F8" s="33"/>
      <c r="G8" s="33"/>
      <c r="H8" s="33"/>
      <c r="I8" s="33"/>
    </row>
    <row r="9" spans="1:9" ht="15" customHeight="1">
      <c r="A9" s="68" t="s">
        <v>29</v>
      </c>
      <c r="B9" s="69"/>
      <c r="C9" s="70"/>
      <c r="D9" s="34" t="s">
        <v>27</v>
      </c>
      <c r="E9" s="42">
        <v>25</v>
      </c>
      <c r="F9" s="33"/>
      <c r="G9" s="33"/>
      <c r="H9" s="33"/>
      <c r="I9" s="33"/>
    </row>
    <row r="10" spans="1:9" ht="15" customHeight="1">
      <c r="A10" s="68" t="s">
        <v>55</v>
      </c>
      <c r="B10" s="71"/>
      <c r="C10" s="70"/>
      <c r="D10" s="34" t="s">
        <v>56</v>
      </c>
      <c r="E10" s="51">
        <v>20</v>
      </c>
      <c r="F10" s="33"/>
      <c r="G10" s="33"/>
      <c r="H10" s="33"/>
      <c r="I10" s="33"/>
    </row>
    <row r="11" spans="1:9" ht="15" customHeight="1">
      <c r="A11" s="68" t="s">
        <v>30</v>
      </c>
      <c r="B11" s="69"/>
      <c r="C11" s="70"/>
      <c r="D11" s="34" t="s">
        <v>27</v>
      </c>
      <c r="E11" s="42">
        <v>216</v>
      </c>
      <c r="F11" s="33"/>
      <c r="G11" s="33"/>
      <c r="H11" s="33"/>
      <c r="I11" s="33"/>
    </row>
    <row r="12" spans="1:9" ht="15" customHeight="1">
      <c r="A12" s="68" t="s">
        <v>31</v>
      </c>
      <c r="B12" s="69"/>
      <c r="C12" s="70"/>
      <c r="D12" s="34" t="s">
        <v>27</v>
      </c>
      <c r="E12" s="42">
        <v>80</v>
      </c>
      <c r="F12" s="33"/>
      <c r="G12" s="33"/>
      <c r="H12" s="33"/>
      <c r="I12" s="33"/>
    </row>
    <row r="13" spans="1:9" ht="15" customHeight="1">
      <c r="A13" s="68" t="s">
        <v>32</v>
      </c>
      <c r="B13" s="69"/>
      <c r="C13" s="70"/>
      <c r="D13" s="34" t="s">
        <v>27</v>
      </c>
      <c r="E13" s="42">
        <v>30</v>
      </c>
      <c r="F13" s="33"/>
      <c r="G13" s="33"/>
      <c r="H13" s="33"/>
      <c r="I13" s="33"/>
    </row>
    <row r="14" spans="1:9" ht="15" customHeight="1">
      <c r="A14" s="68" t="s">
        <v>33</v>
      </c>
      <c r="B14" s="69"/>
      <c r="C14" s="70"/>
      <c r="D14" s="34" t="s">
        <v>8</v>
      </c>
      <c r="E14" s="42">
        <v>36.4</v>
      </c>
      <c r="F14" s="33"/>
      <c r="G14" s="33"/>
      <c r="H14" s="33"/>
      <c r="I14" s="33"/>
    </row>
    <row r="15" spans="1:9" ht="15" customHeight="1">
      <c r="A15" s="68" t="s">
        <v>34</v>
      </c>
      <c r="B15" s="69"/>
      <c r="C15" s="70"/>
      <c r="D15" s="33"/>
      <c r="E15" s="42">
        <v>3</v>
      </c>
      <c r="F15" s="33"/>
      <c r="G15" s="33"/>
      <c r="H15" s="33"/>
      <c r="I15" s="33"/>
    </row>
    <row r="16" spans="1:9" ht="15" customHeight="1">
      <c r="A16" s="68" t="s">
        <v>37</v>
      </c>
      <c r="B16" s="69"/>
      <c r="C16" s="70"/>
      <c r="D16" s="34" t="s">
        <v>39</v>
      </c>
      <c r="E16" s="42">
        <v>186</v>
      </c>
      <c r="F16" s="33"/>
      <c r="G16" s="33"/>
      <c r="H16" s="33"/>
      <c r="I16" s="33"/>
    </row>
    <row r="17" spans="1:9" ht="15" customHeight="1">
      <c r="A17" s="68" t="s">
        <v>38</v>
      </c>
      <c r="B17" s="69"/>
      <c r="C17" s="70"/>
      <c r="D17" s="34" t="s">
        <v>39</v>
      </c>
      <c r="E17" s="42">
        <v>179</v>
      </c>
      <c r="F17" s="33"/>
      <c r="G17" s="33"/>
      <c r="H17" s="33"/>
      <c r="I17" s="33"/>
    </row>
    <row r="18" spans="1:9" ht="15" customHeight="1">
      <c r="A18" s="68" t="s">
        <v>49</v>
      </c>
      <c r="B18" s="69"/>
      <c r="C18" s="70"/>
      <c r="D18" s="34" t="s">
        <v>3</v>
      </c>
      <c r="E18" s="42">
        <v>88</v>
      </c>
      <c r="F18" s="42"/>
      <c r="G18" s="33"/>
      <c r="H18" s="33"/>
      <c r="I18" s="33"/>
    </row>
    <row r="19" spans="1:9" ht="15" customHeight="1">
      <c r="A19" s="68" t="s">
        <v>50</v>
      </c>
      <c r="B19" s="69"/>
      <c r="C19" s="70"/>
      <c r="D19" s="34" t="s">
        <v>51</v>
      </c>
      <c r="E19" s="42">
        <v>11000</v>
      </c>
      <c r="F19" s="42"/>
      <c r="G19" s="33"/>
      <c r="H19" s="33"/>
      <c r="I19" s="33"/>
    </row>
    <row r="20" spans="1:9" ht="15" customHeight="1" thickBot="1">
      <c r="A20" s="65" t="s">
        <v>53</v>
      </c>
      <c r="B20" s="66"/>
      <c r="C20" s="67"/>
      <c r="D20" s="34" t="s">
        <v>54</v>
      </c>
      <c r="E20" s="42">
        <v>1785</v>
      </c>
      <c r="F20" s="33"/>
      <c r="G20" s="33"/>
      <c r="H20" s="33"/>
      <c r="I20" s="33"/>
    </row>
    <row r="21" spans="1:9" ht="15" customHeight="1">
      <c r="A21" s="32"/>
      <c r="B21" s="37"/>
      <c r="C21" s="37"/>
      <c r="D21" s="33"/>
      <c r="E21" s="33"/>
      <c r="F21" s="33"/>
      <c r="G21" s="33"/>
      <c r="H21" s="33"/>
      <c r="I21" s="33"/>
    </row>
    <row r="22" spans="1:9" ht="15" customHeight="1">
      <c r="A22" s="32"/>
      <c r="B22" s="33"/>
      <c r="C22" s="33"/>
      <c r="D22" s="33"/>
      <c r="E22" s="33"/>
      <c r="F22" s="33"/>
      <c r="G22" s="33"/>
      <c r="H22" s="33"/>
      <c r="I22" s="33"/>
    </row>
    <row r="23" spans="1:5" ht="15" customHeight="1" thickBot="1">
      <c r="A23" s="1"/>
      <c r="B23" s="2"/>
      <c r="C23" s="2"/>
      <c r="D23" s="2"/>
      <c r="E23" s="2"/>
    </row>
    <row r="24" spans="1:3" ht="14.25" thickBot="1" thickTop="1">
      <c r="A24" s="35" t="s">
        <v>0</v>
      </c>
      <c r="B24" s="4" t="s">
        <v>1</v>
      </c>
      <c r="C24" s="3"/>
    </row>
    <row r="25" spans="1:3" ht="25.5" customHeight="1" thickTop="1">
      <c r="A25" s="19" t="s">
        <v>21</v>
      </c>
      <c r="B25" s="39" t="s">
        <v>6</v>
      </c>
      <c r="C25" s="40">
        <f>E10</f>
        <v>20</v>
      </c>
    </row>
    <row r="26" spans="1:54" ht="15" thickBot="1">
      <c r="A26" s="17" t="s">
        <v>2</v>
      </c>
      <c r="B26" s="39" t="s">
        <v>3</v>
      </c>
      <c r="C26" s="41">
        <v>8</v>
      </c>
      <c r="D26" s="15">
        <v>1</v>
      </c>
      <c r="E26" s="15">
        <f>1/(1+C26/100)</f>
        <v>0.9259259259259258</v>
      </c>
      <c r="F26" s="15">
        <f aca="true" t="shared" si="0" ref="F26:AK26">E26/(1+$C26/100)</f>
        <v>0.8573388203017831</v>
      </c>
      <c r="G26" s="15">
        <f t="shared" si="0"/>
        <v>0.7938322410201695</v>
      </c>
      <c r="H26" s="15">
        <f t="shared" si="0"/>
        <v>0.7350298527964532</v>
      </c>
      <c r="I26" s="15">
        <f t="shared" si="0"/>
        <v>0.6805831970337529</v>
      </c>
      <c r="J26" s="15">
        <f t="shared" si="0"/>
        <v>0.6301696268831045</v>
      </c>
      <c r="K26" s="15">
        <f t="shared" si="0"/>
        <v>0.5834903952621338</v>
      </c>
      <c r="L26" s="15">
        <f t="shared" si="0"/>
        <v>0.5402688845019756</v>
      </c>
      <c r="M26" s="15">
        <f t="shared" si="0"/>
        <v>0.5002489671314588</v>
      </c>
      <c r="N26" s="15">
        <f t="shared" si="0"/>
        <v>0.4631934880846841</v>
      </c>
      <c r="O26" s="15">
        <f t="shared" si="0"/>
        <v>0.4288828593376704</v>
      </c>
      <c r="P26" s="15">
        <f t="shared" si="0"/>
        <v>0.3971137586459911</v>
      </c>
      <c r="Q26" s="15">
        <f t="shared" si="0"/>
        <v>0.36769792467221396</v>
      </c>
      <c r="R26" s="15">
        <f t="shared" si="0"/>
        <v>0.3404610413631611</v>
      </c>
      <c r="S26" s="15">
        <f t="shared" si="0"/>
        <v>0.3152417049658899</v>
      </c>
      <c r="T26" s="15">
        <f t="shared" si="0"/>
        <v>0.2918904675610091</v>
      </c>
      <c r="U26" s="15">
        <f t="shared" si="0"/>
        <v>0.27026895144537877</v>
      </c>
      <c r="V26" s="15">
        <f t="shared" si="0"/>
        <v>0.2502490291160914</v>
      </c>
      <c r="W26" s="15">
        <f t="shared" si="0"/>
        <v>0.23171206399638095</v>
      </c>
      <c r="X26" s="15">
        <f t="shared" si="0"/>
        <v>0.21454820740405642</v>
      </c>
      <c r="Y26" s="15">
        <f t="shared" si="0"/>
        <v>0.19865574759634852</v>
      </c>
      <c r="Z26" s="15">
        <f t="shared" si="0"/>
        <v>0.18394050703365603</v>
      </c>
      <c r="AA26" s="15">
        <f t="shared" si="0"/>
        <v>0.17031528429042223</v>
      </c>
      <c r="AB26" s="15">
        <f t="shared" si="0"/>
        <v>0.15769933730594649</v>
      </c>
      <c r="AC26" s="15">
        <f t="shared" si="0"/>
        <v>0.14601790491291342</v>
      </c>
      <c r="AD26" s="15">
        <f t="shared" si="0"/>
        <v>0.13520176380825316</v>
      </c>
      <c r="AE26" s="15">
        <f t="shared" si="0"/>
        <v>0.12518681834097514</v>
      </c>
      <c r="AF26" s="15">
        <f t="shared" si="0"/>
        <v>0.11591372068608809</v>
      </c>
      <c r="AG26" s="15">
        <f t="shared" si="0"/>
        <v>0.10732751915378526</v>
      </c>
      <c r="AH26" s="15">
        <f t="shared" si="0"/>
        <v>0.09937733254980116</v>
      </c>
      <c r="AI26" s="15">
        <f t="shared" si="0"/>
        <v>0.09201604865722329</v>
      </c>
      <c r="AJ26" s="15">
        <f t="shared" si="0"/>
        <v>0.08520004505298452</v>
      </c>
      <c r="AK26" s="15">
        <f t="shared" si="0"/>
        <v>0.0788889306046153</v>
      </c>
      <c r="AL26" s="15">
        <f aca="true" t="shared" si="1" ref="AL26:BB26">AK26/(1+$C26/100)</f>
        <v>0.07304530611538453</v>
      </c>
      <c r="AM26" s="15">
        <f t="shared" si="1"/>
        <v>0.06763454269943012</v>
      </c>
      <c r="AN26" s="15">
        <f t="shared" si="1"/>
        <v>0.0626245765735464</v>
      </c>
      <c r="AO26" s="15">
        <f t="shared" si="1"/>
        <v>0.057985719049580005</v>
      </c>
      <c r="AP26" s="15">
        <f t="shared" si="1"/>
        <v>0.05369048060146296</v>
      </c>
      <c r="AQ26" s="15">
        <f t="shared" si="1"/>
        <v>0.04971340796431755</v>
      </c>
      <c r="AR26" s="15">
        <f t="shared" si="1"/>
        <v>0.04603093330029402</v>
      </c>
      <c r="AS26" s="15">
        <f t="shared" si="1"/>
        <v>0.042621234537309274</v>
      </c>
      <c r="AT26" s="15">
        <f t="shared" si="1"/>
        <v>0.03946410605306414</v>
      </c>
      <c r="AU26" s="15">
        <f t="shared" si="1"/>
        <v>0.03654083893802235</v>
      </c>
      <c r="AV26" s="15">
        <f t="shared" si="1"/>
        <v>0.033834110127798474</v>
      </c>
      <c r="AW26" s="15">
        <f t="shared" si="1"/>
        <v>0.03132787974796155</v>
      </c>
      <c r="AX26" s="15">
        <f t="shared" si="1"/>
        <v>0.02900729606292736</v>
      </c>
      <c r="AY26" s="15">
        <f t="shared" si="1"/>
        <v>0.02685860746567348</v>
      </c>
      <c r="AZ26" s="15">
        <f t="shared" si="1"/>
        <v>0.0248690809867347</v>
      </c>
      <c r="BA26" s="15">
        <f t="shared" si="1"/>
        <v>0.023026926839569164</v>
      </c>
      <c r="BB26" s="15">
        <f t="shared" si="1"/>
        <v>0.02132122855515663</v>
      </c>
    </row>
    <row r="27" ht="15" thickBot="1">
      <c r="D27" s="29" t="s">
        <v>5</v>
      </c>
    </row>
    <row r="28" spans="1:54" ht="15.75" thickBot="1">
      <c r="A28" s="20" t="s">
        <v>20</v>
      </c>
      <c r="B28" s="18" t="s">
        <v>17</v>
      </c>
      <c r="C28" s="16">
        <f>C29+C49</f>
        <v>123345.34973647253</v>
      </c>
      <c r="D28" s="29">
        <v>0</v>
      </c>
      <c r="E28" s="29">
        <f aca="true" t="shared" si="2" ref="E28:AJ28">IF(D28&lt;$C25,D28+1,"")</f>
        <v>1</v>
      </c>
      <c r="F28" s="29">
        <f t="shared" si="2"/>
        <v>2</v>
      </c>
      <c r="G28" s="29">
        <f t="shared" si="2"/>
        <v>3</v>
      </c>
      <c r="H28" s="29">
        <f t="shared" si="2"/>
        <v>4</v>
      </c>
      <c r="I28" s="29">
        <f t="shared" si="2"/>
        <v>5</v>
      </c>
      <c r="J28" s="29">
        <f t="shared" si="2"/>
        <v>6</v>
      </c>
      <c r="K28" s="29">
        <f t="shared" si="2"/>
        <v>7</v>
      </c>
      <c r="L28" s="29">
        <f t="shared" si="2"/>
        <v>8</v>
      </c>
      <c r="M28" s="29">
        <f t="shared" si="2"/>
        <v>9</v>
      </c>
      <c r="N28" s="29">
        <f t="shared" si="2"/>
        <v>10</v>
      </c>
      <c r="O28" s="29">
        <f t="shared" si="2"/>
        <v>11</v>
      </c>
      <c r="P28" s="29">
        <f t="shared" si="2"/>
        <v>12</v>
      </c>
      <c r="Q28" s="29">
        <f t="shared" si="2"/>
        <v>13</v>
      </c>
      <c r="R28" s="29">
        <f t="shared" si="2"/>
        <v>14</v>
      </c>
      <c r="S28" s="29">
        <f t="shared" si="2"/>
        <v>15</v>
      </c>
      <c r="T28" s="29">
        <f t="shared" si="2"/>
        <v>16</v>
      </c>
      <c r="U28" s="29">
        <f t="shared" si="2"/>
        <v>17</v>
      </c>
      <c r="V28" s="29">
        <f t="shared" si="2"/>
        <v>18</v>
      </c>
      <c r="W28" s="29">
        <f t="shared" si="2"/>
        <v>19</v>
      </c>
      <c r="X28" s="29">
        <f t="shared" si="2"/>
        <v>20</v>
      </c>
      <c r="Y28" s="29">
        <f t="shared" si="2"/>
      </c>
      <c r="Z28" s="29">
        <f t="shared" si="2"/>
      </c>
      <c r="AA28" s="29">
        <f t="shared" si="2"/>
      </c>
      <c r="AB28" s="29">
        <f t="shared" si="2"/>
      </c>
      <c r="AC28" s="29">
        <f t="shared" si="2"/>
      </c>
      <c r="AD28" s="29">
        <f t="shared" si="2"/>
      </c>
      <c r="AE28" s="29">
        <f t="shared" si="2"/>
      </c>
      <c r="AF28" s="29">
        <f t="shared" si="2"/>
      </c>
      <c r="AG28" s="29">
        <f t="shared" si="2"/>
      </c>
      <c r="AH28" s="29">
        <f t="shared" si="2"/>
      </c>
      <c r="AI28" s="29">
        <f t="shared" si="2"/>
      </c>
      <c r="AJ28" s="29">
        <f t="shared" si="2"/>
      </c>
      <c r="AK28" s="29">
        <f aca="true" t="shared" si="3" ref="AK28:BB28">IF(AJ28&lt;$C25,AJ28+1,"")</f>
      </c>
      <c r="AL28" s="29">
        <f t="shared" si="3"/>
      </c>
      <c r="AM28" s="29">
        <f t="shared" si="3"/>
      </c>
      <c r="AN28" s="29">
        <f t="shared" si="3"/>
      </c>
      <c r="AO28" s="29">
        <f t="shared" si="3"/>
      </c>
      <c r="AP28" s="29">
        <f t="shared" si="3"/>
      </c>
      <c r="AQ28" s="29">
        <f t="shared" si="3"/>
      </c>
      <c r="AR28" s="29">
        <f t="shared" si="3"/>
      </c>
      <c r="AS28" s="29">
        <f t="shared" si="3"/>
      </c>
      <c r="AT28" s="29">
        <f t="shared" si="3"/>
      </c>
      <c r="AU28" s="29">
        <f t="shared" si="3"/>
      </c>
      <c r="AV28" s="29">
        <f t="shared" si="3"/>
      </c>
      <c r="AW28" s="29">
        <f t="shared" si="3"/>
      </c>
      <c r="AX28" s="29">
        <f t="shared" si="3"/>
      </c>
      <c r="AY28" s="29">
        <f t="shared" si="3"/>
      </c>
      <c r="AZ28" s="29">
        <f t="shared" si="3"/>
      </c>
      <c r="BA28" s="29">
        <f t="shared" si="3"/>
      </c>
      <c r="BB28" s="29">
        <f t="shared" si="3"/>
      </c>
    </row>
    <row r="29" spans="1:54" ht="19.5" thickBot="1">
      <c r="A29" s="26" t="s">
        <v>9</v>
      </c>
      <c r="B29" s="21" t="s">
        <v>17</v>
      </c>
      <c r="C29" s="16">
        <f>SUM(D29:BB29)</f>
        <v>442312.02245867427</v>
      </c>
      <c r="D29" s="27">
        <f aca="true" t="shared" si="4" ref="D29:AI29">D30*D26</f>
        <v>442312.02245867427</v>
      </c>
      <c r="E29" s="27">
        <f t="shared" si="4"/>
        <v>0</v>
      </c>
      <c r="F29" s="27">
        <f t="shared" si="4"/>
        <v>0</v>
      </c>
      <c r="G29" s="27">
        <f t="shared" si="4"/>
        <v>0</v>
      </c>
      <c r="H29" s="27">
        <f t="shared" si="4"/>
        <v>0</v>
      </c>
      <c r="I29" s="27">
        <f t="shared" si="4"/>
        <v>0</v>
      </c>
      <c r="J29" s="27">
        <f t="shared" si="4"/>
        <v>0</v>
      </c>
      <c r="K29" s="27">
        <f t="shared" si="4"/>
        <v>0</v>
      </c>
      <c r="L29" s="27">
        <f t="shared" si="4"/>
        <v>0</v>
      </c>
      <c r="M29" s="27">
        <f t="shared" si="4"/>
        <v>0</v>
      </c>
      <c r="N29" s="27">
        <f t="shared" si="4"/>
        <v>0</v>
      </c>
      <c r="O29" s="27">
        <f t="shared" si="4"/>
        <v>0</v>
      </c>
      <c r="P29" s="27">
        <f t="shared" si="4"/>
        <v>0</v>
      </c>
      <c r="Q29" s="27">
        <f t="shared" si="4"/>
        <v>0</v>
      </c>
      <c r="R29" s="27">
        <f t="shared" si="4"/>
        <v>0</v>
      </c>
      <c r="S29" s="27">
        <f t="shared" si="4"/>
        <v>0</v>
      </c>
      <c r="T29" s="27">
        <f t="shared" si="4"/>
        <v>0</v>
      </c>
      <c r="U29" s="27">
        <f t="shared" si="4"/>
        <v>0</v>
      </c>
      <c r="V29" s="27">
        <f t="shared" si="4"/>
        <v>0</v>
      </c>
      <c r="W29" s="27">
        <f t="shared" si="4"/>
        <v>0</v>
      </c>
      <c r="X29" s="27">
        <f t="shared" si="4"/>
        <v>0</v>
      </c>
      <c r="Y29" s="27">
        <f t="shared" si="4"/>
        <v>0</v>
      </c>
      <c r="Z29" s="27">
        <f t="shared" si="4"/>
        <v>0</v>
      </c>
      <c r="AA29" s="27">
        <f t="shared" si="4"/>
        <v>0</v>
      </c>
      <c r="AB29" s="27">
        <f t="shared" si="4"/>
        <v>0</v>
      </c>
      <c r="AC29" s="27">
        <f t="shared" si="4"/>
        <v>0</v>
      </c>
      <c r="AD29" s="27">
        <f t="shared" si="4"/>
        <v>0</v>
      </c>
      <c r="AE29" s="27">
        <f t="shared" si="4"/>
        <v>0</v>
      </c>
      <c r="AF29" s="27">
        <f t="shared" si="4"/>
        <v>0</v>
      </c>
      <c r="AG29" s="27">
        <f t="shared" si="4"/>
        <v>0</v>
      </c>
      <c r="AH29" s="27">
        <f t="shared" si="4"/>
        <v>0</v>
      </c>
      <c r="AI29" s="27">
        <f t="shared" si="4"/>
        <v>0</v>
      </c>
      <c r="AJ29" s="27">
        <f aca="true" t="shared" si="5" ref="AJ29:BB29">AJ30*AJ26</f>
        <v>0</v>
      </c>
      <c r="AK29" s="27">
        <f t="shared" si="5"/>
        <v>0</v>
      </c>
      <c r="AL29" s="27">
        <f t="shared" si="5"/>
        <v>0</v>
      </c>
      <c r="AM29" s="27">
        <f t="shared" si="5"/>
        <v>0</v>
      </c>
      <c r="AN29" s="27">
        <f t="shared" si="5"/>
        <v>0</v>
      </c>
      <c r="AO29" s="27">
        <f t="shared" si="5"/>
        <v>0</v>
      </c>
      <c r="AP29" s="27">
        <f t="shared" si="5"/>
        <v>0</v>
      </c>
      <c r="AQ29" s="27">
        <f t="shared" si="5"/>
        <v>0</v>
      </c>
      <c r="AR29" s="27">
        <f t="shared" si="5"/>
        <v>0</v>
      </c>
      <c r="AS29" s="27">
        <f t="shared" si="5"/>
        <v>0</v>
      </c>
      <c r="AT29" s="27">
        <f t="shared" si="5"/>
        <v>0</v>
      </c>
      <c r="AU29" s="27">
        <f t="shared" si="5"/>
        <v>0</v>
      </c>
      <c r="AV29" s="27">
        <f t="shared" si="5"/>
        <v>0</v>
      </c>
      <c r="AW29" s="27">
        <f t="shared" si="5"/>
        <v>0</v>
      </c>
      <c r="AX29" s="27">
        <f t="shared" si="5"/>
        <v>0</v>
      </c>
      <c r="AY29" s="27">
        <f t="shared" si="5"/>
        <v>0</v>
      </c>
      <c r="AZ29" s="27">
        <f t="shared" si="5"/>
        <v>0</v>
      </c>
      <c r="BA29" s="27">
        <f t="shared" si="5"/>
        <v>0</v>
      </c>
      <c r="BB29" s="27">
        <f t="shared" si="5"/>
        <v>0</v>
      </c>
    </row>
    <row r="30" spans="1:54" ht="14.25" customHeight="1">
      <c r="A30" s="30" t="s">
        <v>23</v>
      </c>
      <c r="B30" s="28" t="s">
        <v>17</v>
      </c>
      <c r="C30" s="12">
        <f>(C32+C33+C34+C38+C40)*1000</f>
        <v>494600</v>
      </c>
      <c r="D30" s="50">
        <f>D32+D33+D34+D39+D41</f>
        <v>442312.02245867427</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3" ht="12.75">
      <c r="A31" s="13" t="s">
        <v>10</v>
      </c>
      <c r="C31" s="9"/>
    </row>
    <row r="32" spans="1:4" ht="12.75">
      <c r="A32" s="43" t="s">
        <v>35</v>
      </c>
      <c r="B32" s="44" t="s">
        <v>27</v>
      </c>
      <c r="C32" s="45">
        <f>E8</f>
        <v>143.6</v>
      </c>
      <c r="D32">
        <f>C32*1000</f>
        <v>143600</v>
      </c>
    </row>
    <row r="33" spans="1:4" ht="12.75">
      <c r="A33" s="43" t="s">
        <v>29</v>
      </c>
      <c r="B33" s="44" t="s">
        <v>27</v>
      </c>
      <c r="C33" s="45">
        <f>E9</f>
        <v>25</v>
      </c>
      <c r="D33">
        <f>C33*1000</f>
        <v>25000</v>
      </c>
    </row>
    <row r="34" spans="1:4" ht="12.75">
      <c r="A34" s="46" t="s">
        <v>36</v>
      </c>
      <c r="B34" s="44" t="s">
        <v>27</v>
      </c>
      <c r="C34" s="45">
        <f>E13</f>
        <v>30</v>
      </c>
      <c r="D34">
        <f>C34*1000</f>
        <v>30000</v>
      </c>
    </row>
    <row r="35" ht="12.75">
      <c r="C35" s="9"/>
    </row>
    <row r="36" ht="12.75">
      <c r="A36" s="13" t="s">
        <v>11</v>
      </c>
    </row>
    <row r="37" spans="1:3" ht="12.75">
      <c r="A37" s="46" t="s">
        <v>61</v>
      </c>
      <c r="B37" s="47" t="s">
        <v>56</v>
      </c>
      <c r="C37" s="46">
        <v>40</v>
      </c>
    </row>
    <row r="38" spans="1:3" ht="12.75">
      <c r="A38" s="46" t="s">
        <v>31</v>
      </c>
      <c r="B38" s="47" t="s">
        <v>27</v>
      </c>
      <c r="C38" s="46">
        <f>E12</f>
        <v>80</v>
      </c>
    </row>
    <row r="39" spans="1:4" ht="12.75">
      <c r="A39" s="46" t="s">
        <v>60</v>
      </c>
      <c r="B39" s="47" t="s">
        <v>27</v>
      </c>
      <c r="C39" s="52">
        <f>C38*C43</f>
        <v>65.86811417802008</v>
      </c>
      <c r="D39" s="48">
        <f>C39*1000</f>
        <v>65868.11417802009</v>
      </c>
    </row>
    <row r="40" spans="1:4" ht="12.75">
      <c r="A40" s="43" t="s">
        <v>30</v>
      </c>
      <c r="B40" s="44" t="s">
        <v>27</v>
      </c>
      <c r="C40" s="52">
        <f>E11</f>
        <v>216</v>
      </c>
      <c r="D40" s="48"/>
    </row>
    <row r="41" spans="1:4" ht="12.75">
      <c r="A41" s="46" t="s">
        <v>62</v>
      </c>
      <c r="B41" s="44" t="s">
        <v>27</v>
      </c>
      <c r="C41" s="52">
        <f>C40*C43</f>
        <v>177.8439082806542</v>
      </c>
      <c r="D41" s="48">
        <f>C41*1000</f>
        <v>177843.9082806542</v>
      </c>
    </row>
    <row r="42" spans="1:3" ht="12.75">
      <c r="A42" s="11" t="s">
        <v>19</v>
      </c>
      <c r="B42" s="8" t="s">
        <v>17</v>
      </c>
      <c r="C42" s="24"/>
    </row>
    <row r="43" spans="1:3" ht="14.25" customHeight="1">
      <c r="A43" s="23" t="s">
        <v>22</v>
      </c>
      <c r="B43" s="22"/>
      <c r="C43" s="17">
        <f>(1-POWER(1+C26/100,-C25))/(1-POWER(1+C26/100,-C37))</f>
        <v>0.8233514272252509</v>
      </c>
    </row>
    <row r="44" spans="1:3" ht="12.75">
      <c r="A44" s="10"/>
      <c r="B44" s="8"/>
      <c r="C44" s="12"/>
    </row>
    <row r="45" spans="1:3" ht="12.75">
      <c r="A45" s="10"/>
      <c r="C45" s="12"/>
    </row>
    <row r="46" spans="1:3" ht="12.75">
      <c r="A46" s="14" t="s">
        <v>12</v>
      </c>
      <c r="C46" s="12"/>
    </row>
    <row r="47" spans="1:3" ht="12.75">
      <c r="A47" s="10"/>
      <c r="C47" s="12"/>
    </row>
    <row r="48" spans="4:54" ht="15" thickBot="1">
      <c r="D48" s="29" t="s">
        <v>5</v>
      </c>
      <c r="E48" s="29">
        <f aca="true" t="shared" si="6" ref="E48:AJ48">E28</f>
        <v>1</v>
      </c>
      <c r="F48" s="29">
        <f t="shared" si="6"/>
        <v>2</v>
      </c>
      <c r="G48" s="29">
        <f t="shared" si="6"/>
        <v>3</v>
      </c>
      <c r="H48" s="29">
        <f t="shared" si="6"/>
        <v>4</v>
      </c>
      <c r="I48" s="29">
        <f t="shared" si="6"/>
        <v>5</v>
      </c>
      <c r="J48" s="29">
        <f t="shared" si="6"/>
        <v>6</v>
      </c>
      <c r="K48" s="29">
        <f t="shared" si="6"/>
        <v>7</v>
      </c>
      <c r="L48" s="29">
        <f t="shared" si="6"/>
        <v>8</v>
      </c>
      <c r="M48" s="29">
        <f t="shared" si="6"/>
        <v>9</v>
      </c>
      <c r="N48" s="29">
        <f t="shared" si="6"/>
        <v>10</v>
      </c>
      <c r="O48" s="29">
        <f t="shared" si="6"/>
        <v>11</v>
      </c>
      <c r="P48" s="29">
        <f t="shared" si="6"/>
        <v>12</v>
      </c>
      <c r="Q48" s="29">
        <f t="shared" si="6"/>
        <v>13</v>
      </c>
      <c r="R48" s="29">
        <f t="shared" si="6"/>
        <v>14</v>
      </c>
      <c r="S48" s="29">
        <f t="shared" si="6"/>
        <v>15</v>
      </c>
      <c r="T48" s="29">
        <f t="shared" si="6"/>
        <v>16</v>
      </c>
      <c r="U48" s="29">
        <f t="shared" si="6"/>
        <v>17</v>
      </c>
      <c r="V48" s="29">
        <f t="shared" si="6"/>
        <v>18</v>
      </c>
      <c r="W48" s="29">
        <f t="shared" si="6"/>
        <v>19</v>
      </c>
      <c r="X48" s="29">
        <f t="shared" si="6"/>
        <v>20</v>
      </c>
      <c r="Y48" s="29">
        <f t="shared" si="6"/>
      </c>
      <c r="Z48" s="29">
        <f t="shared" si="6"/>
      </c>
      <c r="AA48" s="29">
        <f t="shared" si="6"/>
      </c>
      <c r="AB48" s="29">
        <f t="shared" si="6"/>
      </c>
      <c r="AC48" s="29">
        <f t="shared" si="6"/>
      </c>
      <c r="AD48" s="29">
        <f t="shared" si="6"/>
      </c>
      <c r="AE48" s="29">
        <f t="shared" si="6"/>
      </c>
      <c r="AF48" s="29">
        <f t="shared" si="6"/>
      </c>
      <c r="AG48" s="29">
        <f t="shared" si="6"/>
      </c>
      <c r="AH48" s="29">
        <f t="shared" si="6"/>
      </c>
      <c r="AI48" s="29">
        <f t="shared" si="6"/>
      </c>
      <c r="AJ48" s="29">
        <f t="shared" si="6"/>
      </c>
      <c r="AK48" s="29">
        <f aca="true" t="shared" si="7" ref="AK48:BB48">AK28</f>
      </c>
      <c r="AL48" s="29">
        <f t="shared" si="7"/>
      </c>
      <c r="AM48" s="29">
        <f t="shared" si="7"/>
      </c>
      <c r="AN48" s="29">
        <f t="shared" si="7"/>
      </c>
      <c r="AO48" s="29">
        <f t="shared" si="7"/>
      </c>
      <c r="AP48" s="29">
        <f t="shared" si="7"/>
      </c>
      <c r="AQ48" s="29">
        <f t="shared" si="7"/>
      </c>
      <c r="AR48" s="29">
        <f t="shared" si="7"/>
      </c>
      <c r="AS48" s="29">
        <f t="shared" si="7"/>
      </c>
      <c r="AT48" s="29">
        <f t="shared" si="7"/>
      </c>
      <c r="AU48" s="29">
        <f t="shared" si="7"/>
      </c>
      <c r="AV48" s="29">
        <f t="shared" si="7"/>
      </c>
      <c r="AW48" s="29">
        <f t="shared" si="7"/>
      </c>
      <c r="AX48" s="29">
        <f t="shared" si="7"/>
      </c>
      <c r="AY48" s="29">
        <f t="shared" si="7"/>
      </c>
      <c r="AZ48" s="29">
        <f t="shared" si="7"/>
      </c>
      <c r="BA48" s="29">
        <f t="shared" si="7"/>
      </c>
      <c r="BB48" s="29">
        <f t="shared" si="7"/>
      </c>
    </row>
    <row r="49" spans="1:54" ht="19.5" thickBot="1">
      <c r="A49" s="26" t="s">
        <v>15</v>
      </c>
      <c r="B49" s="22" t="s">
        <v>17</v>
      </c>
      <c r="C49" s="16">
        <f>SUM(E49:BB49)</f>
        <v>-318966.67272220174</v>
      </c>
      <c r="D49" s="2"/>
      <c r="E49" s="27">
        <f aca="true" t="shared" si="8" ref="E49:AJ49">E50*E26</f>
        <v>-30080.981627525234</v>
      </c>
      <c r="F49" s="27">
        <f t="shared" si="8"/>
        <v>-27852.760766227064</v>
      </c>
      <c r="G49" s="27">
        <f t="shared" si="8"/>
        <v>-25789.593302062094</v>
      </c>
      <c r="H49" s="27">
        <f t="shared" si="8"/>
        <v>-23879.253057464903</v>
      </c>
      <c r="I49" s="27">
        <f t="shared" si="8"/>
        <v>-22110.419497652685</v>
      </c>
      <c r="J49" s="27">
        <f t="shared" si="8"/>
        <v>-20472.61064597471</v>
      </c>
      <c r="K49" s="27">
        <f t="shared" si="8"/>
        <v>-18956.1209684951</v>
      </c>
      <c r="L49" s="27">
        <f t="shared" si="8"/>
        <v>-17551.96385971768</v>
      </c>
      <c r="M49" s="27">
        <f t="shared" si="8"/>
        <v>-16251.81838862748</v>
      </c>
      <c r="N49" s="27">
        <f t="shared" si="8"/>
        <v>-15047.979989469888</v>
      </c>
      <c r="O49" s="27">
        <f t="shared" si="8"/>
        <v>-13933.31480506471</v>
      </c>
      <c r="P49" s="27">
        <f t="shared" si="8"/>
        <v>-12901.217412096952</v>
      </c>
      <c r="Q49" s="27">
        <f t="shared" si="8"/>
        <v>-11945.571677867549</v>
      </c>
      <c r="R49" s="27">
        <f t="shared" si="8"/>
        <v>-11060.714516544027</v>
      </c>
      <c r="S49" s="27">
        <f t="shared" si="8"/>
        <v>-10241.402330133358</v>
      </c>
      <c r="T49" s="27">
        <f t="shared" si="8"/>
        <v>-9482.779935308663</v>
      </c>
      <c r="U49" s="27">
        <f t="shared" si="8"/>
        <v>-8780.351791952466</v>
      </c>
      <c r="V49" s="27">
        <f t="shared" si="8"/>
        <v>-8129.955362918948</v>
      </c>
      <c r="W49" s="27">
        <f t="shared" si="8"/>
        <v>-7527.736447147174</v>
      </c>
      <c r="X49" s="27">
        <f t="shared" si="8"/>
        <v>-6970.126339951086</v>
      </c>
      <c r="Y49" s="27">
        <f t="shared" si="8"/>
        <v>0</v>
      </c>
      <c r="Z49" s="27">
        <f t="shared" si="8"/>
        <v>0</v>
      </c>
      <c r="AA49" s="27">
        <f t="shared" si="8"/>
        <v>0</v>
      </c>
      <c r="AB49" s="27">
        <f t="shared" si="8"/>
        <v>0</v>
      </c>
      <c r="AC49" s="27">
        <f t="shared" si="8"/>
        <v>0</v>
      </c>
      <c r="AD49" s="27">
        <f t="shared" si="8"/>
        <v>0</v>
      </c>
      <c r="AE49" s="27">
        <f t="shared" si="8"/>
        <v>0</v>
      </c>
      <c r="AF49" s="27">
        <f t="shared" si="8"/>
        <v>0</v>
      </c>
      <c r="AG49" s="27">
        <f t="shared" si="8"/>
        <v>0</v>
      </c>
      <c r="AH49" s="27">
        <f t="shared" si="8"/>
        <v>0</v>
      </c>
      <c r="AI49" s="27">
        <f t="shared" si="8"/>
        <v>0</v>
      </c>
      <c r="AJ49" s="27">
        <f t="shared" si="8"/>
        <v>0</v>
      </c>
      <c r="AK49" s="27">
        <f aca="true" t="shared" si="9" ref="AK49:BB49">AK50*AK26</f>
        <v>0</v>
      </c>
      <c r="AL49" s="27">
        <f t="shared" si="9"/>
        <v>0</v>
      </c>
      <c r="AM49" s="27">
        <f t="shared" si="9"/>
        <v>0</v>
      </c>
      <c r="AN49" s="27">
        <f t="shared" si="9"/>
        <v>0</v>
      </c>
      <c r="AO49" s="27">
        <f t="shared" si="9"/>
        <v>0</v>
      </c>
      <c r="AP49" s="27">
        <f t="shared" si="9"/>
        <v>0</v>
      </c>
      <c r="AQ49" s="27">
        <f t="shared" si="9"/>
        <v>0</v>
      </c>
      <c r="AR49" s="27">
        <f t="shared" si="9"/>
        <v>0</v>
      </c>
      <c r="AS49" s="27">
        <f t="shared" si="9"/>
        <v>0</v>
      </c>
      <c r="AT49" s="27">
        <f t="shared" si="9"/>
        <v>0</v>
      </c>
      <c r="AU49" s="27">
        <f t="shared" si="9"/>
        <v>0</v>
      </c>
      <c r="AV49" s="27">
        <f t="shared" si="9"/>
        <v>0</v>
      </c>
      <c r="AW49" s="27">
        <f t="shared" si="9"/>
        <v>0</v>
      </c>
      <c r="AX49" s="27">
        <f t="shared" si="9"/>
        <v>0</v>
      </c>
      <c r="AY49" s="27">
        <f t="shared" si="9"/>
        <v>0</v>
      </c>
      <c r="AZ49" s="27">
        <f t="shared" si="9"/>
        <v>0</v>
      </c>
      <c r="BA49" s="27">
        <f t="shared" si="9"/>
        <v>0</v>
      </c>
      <c r="BB49" s="27">
        <f t="shared" si="9"/>
        <v>0</v>
      </c>
    </row>
    <row r="50" spans="1:54" ht="15.75" thickBot="1">
      <c r="A50" s="30" t="s">
        <v>24</v>
      </c>
      <c r="B50" s="8" t="s">
        <v>17</v>
      </c>
      <c r="C50" s="16">
        <f>SUM(E50:BB50)</f>
        <v>-649749.2031545449</v>
      </c>
      <c r="E50" s="31">
        <f aca="true" t="shared" si="10" ref="E50:X50">E55-E65</f>
        <v>-32487.460157727255</v>
      </c>
      <c r="F50" s="31">
        <f t="shared" si="10"/>
        <v>-32487.460157727255</v>
      </c>
      <c r="G50" s="31">
        <f t="shared" si="10"/>
        <v>-32487.460157727255</v>
      </c>
      <c r="H50" s="31">
        <f t="shared" si="10"/>
        <v>-32487.460157727255</v>
      </c>
      <c r="I50" s="31">
        <f t="shared" si="10"/>
        <v>-32487.460157727255</v>
      </c>
      <c r="J50" s="31">
        <f t="shared" si="10"/>
        <v>-32487.460157727255</v>
      </c>
      <c r="K50" s="31">
        <f t="shared" si="10"/>
        <v>-32487.460157727255</v>
      </c>
      <c r="L50" s="31">
        <f t="shared" si="10"/>
        <v>-32487.460157727255</v>
      </c>
      <c r="M50" s="31">
        <f t="shared" si="10"/>
        <v>-32487.460157727255</v>
      </c>
      <c r="N50" s="31">
        <f t="shared" si="10"/>
        <v>-32487.460157727255</v>
      </c>
      <c r="O50" s="31">
        <f t="shared" si="10"/>
        <v>-32487.460157727255</v>
      </c>
      <c r="P50" s="31">
        <f t="shared" si="10"/>
        <v>-32487.460157727255</v>
      </c>
      <c r="Q50" s="31">
        <f t="shared" si="10"/>
        <v>-32487.460157727255</v>
      </c>
      <c r="R50" s="31">
        <f t="shared" si="10"/>
        <v>-32487.460157727255</v>
      </c>
      <c r="S50" s="31">
        <f t="shared" si="10"/>
        <v>-32487.460157727255</v>
      </c>
      <c r="T50" s="31">
        <f t="shared" si="10"/>
        <v>-32487.460157727255</v>
      </c>
      <c r="U50" s="31">
        <f t="shared" si="10"/>
        <v>-32487.460157727255</v>
      </c>
      <c r="V50" s="31">
        <f t="shared" si="10"/>
        <v>-32487.460157727255</v>
      </c>
      <c r="W50" s="31">
        <f t="shared" si="10"/>
        <v>-32487.460157727255</v>
      </c>
      <c r="X50" s="31">
        <f t="shared" si="10"/>
        <v>-32487.460157727255</v>
      </c>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ht="12.75">
      <c r="A51" s="13" t="s">
        <v>13</v>
      </c>
    </row>
    <row r="53" ht="12.75">
      <c r="A53" s="13" t="s">
        <v>14</v>
      </c>
    </row>
    <row r="54" spans="1:3" ht="12.75">
      <c r="A54" s="43" t="s">
        <v>44</v>
      </c>
      <c r="B54" s="47" t="s">
        <v>43</v>
      </c>
      <c r="C54" s="49">
        <f>C63/E15</f>
        <v>290.928</v>
      </c>
    </row>
    <row r="55" spans="1:24" ht="12.75">
      <c r="A55" s="43" t="s">
        <v>45</v>
      </c>
      <c r="B55" s="47" t="s">
        <v>46</v>
      </c>
      <c r="C55" s="49">
        <f>C54*E14/100</f>
        <v>105.897792</v>
      </c>
      <c r="E55">
        <f>C55*1000</f>
        <v>105897.792</v>
      </c>
      <c r="F55">
        <f aca="true" t="shared" si="11" ref="F55:X55">E55</f>
        <v>105897.792</v>
      </c>
      <c r="G55">
        <f t="shared" si="11"/>
        <v>105897.792</v>
      </c>
      <c r="H55">
        <f t="shared" si="11"/>
        <v>105897.792</v>
      </c>
      <c r="I55">
        <f t="shared" si="11"/>
        <v>105897.792</v>
      </c>
      <c r="J55">
        <f t="shared" si="11"/>
        <v>105897.792</v>
      </c>
      <c r="K55">
        <f t="shared" si="11"/>
        <v>105897.792</v>
      </c>
      <c r="L55">
        <f t="shared" si="11"/>
        <v>105897.792</v>
      </c>
      <c r="M55">
        <f t="shared" si="11"/>
        <v>105897.792</v>
      </c>
      <c r="N55">
        <f t="shared" si="11"/>
        <v>105897.792</v>
      </c>
      <c r="O55">
        <f t="shared" si="11"/>
        <v>105897.792</v>
      </c>
      <c r="P55">
        <f t="shared" si="11"/>
        <v>105897.792</v>
      </c>
      <c r="Q55">
        <f t="shared" si="11"/>
        <v>105897.792</v>
      </c>
      <c r="R55">
        <f t="shared" si="11"/>
        <v>105897.792</v>
      </c>
      <c r="S55">
        <f t="shared" si="11"/>
        <v>105897.792</v>
      </c>
      <c r="T55">
        <f t="shared" si="11"/>
        <v>105897.792</v>
      </c>
      <c r="U55">
        <f t="shared" si="11"/>
        <v>105897.792</v>
      </c>
      <c r="V55">
        <f t="shared" si="11"/>
        <v>105897.792</v>
      </c>
      <c r="W55">
        <f t="shared" si="11"/>
        <v>105897.792</v>
      </c>
      <c r="X55">
        <f t="shared" si="11"/>
        <v>105897.792</v>
      </c>
    </row>
    <row r="56" ht="12.75">
      <c r="B56" s="8"/>
    </row>
    <row r="57" spans="1:2" ht="12.75">
      <c r="A57" s="13" t="s">
        <v>18</v>
      </c>
      <c r="B57" s="8"/>
    </row>
    <row r="58" ht="12.75">
      <c r="B58" s="8"/>
    </row>
    <row r="59" ht="12.75">
      <c r="B59" s="8"/>
    </row>
    <row r="60" spans="1:2" ht="12.75">
      <c r="A60" s="13" t="s">
        <v>16</v>
      </c>
      <c r="B60" s="8"/>
    </row>
    <row r="61" spans="1:2" ht="12.75">
      <c r="A61" s="6"/>
      <c r="B61" s="8"/>
    </row>
    <row r="62" spans="1:2" ht="12.75">
      <c r="A62" s="54" t="s">
        <v>40</v>
      </c>
      <c r="B62" s="8"/>
    </row>
    <row r="63" spans="1:3" ht="12.75">
      <c r="A63" s="43" t="s">
        <v>42</v>
      </c>
      <c r="B63" s="47" t="s">
        <v>43</v>
      </c>
      <c r="C63" s="49">
        <f>(44*3*E16*24+44*1.5*E17*24)/1000</f>
        <v>872.784</v>
      </c>
    </row>
    <row r="64" spans="1:3" ht="12.75">
      <c r="A64" s="43" t="s">
        <v>47</v>
      </c>
      <c r="B64" s="47" t="s">
        <v>48</v>
      </c>
      <c r="C64" s="49">
        <f>C63/(E18/100)*859845/E19/1000</f>
        <v>77.5267519090909</v>
      </c>
    </row>
    <row r="65" spans="1:24" ht="12.75">
      <c r="A65" s="43" t="s">
        <v>52</v>
      </c>
      <c r="B65" s="46" t="s">
        <v>46</v>
      </c>
      <c r="C65" s="49">
        <f>C64*E20/1000</f>
        <v>138.38525215772725</v>
      </c>
      <c r="E65">
        <f>C65*1000</f>
        <v>138385.25215772726</v>
      </c>
      <c r="F65">
        <f aca="true" t="shared" si="12" ref="F65:X65">E65</f>
        <v>138385.25215772726</v>
      </c>
      <c r="G65">
        <f t="shared" si="12"/>
        <v>138385.25215772726</v>
      </c>
      <c r="H65">
        <f t="shared" si="12"/>
        <v>138385.25215772726</v>
      </c>
      <c r="I65">
        <f t="shared" si="12"/>
        <v>138385.25215772726</v>
      </c>
      <c r="J65">
        <f t="shared" si="12"/>
        <v>138385.25215772726</v>
      </c>
      <c r="K65">
        <f t="shared" si="12"/>
        <v>138385.25215772726</v>
      </c>
      <c r="L65">
        <f t="shared" si="12"/>
        <v>138385.25215772726</v>
      </c>
      <c r="M65">
        <f t="shared" si="12"/>
        <v>138385.25215772726</v>
      </c>
      <c r="N65">
        <f t="shared" si="12"/>
        <v>138385.25215772726</v>
      </c>
      <c r="O65">
        <f t="shared" si="12"/>
        <v>138385.25215772726</v>
      </c>
      <c r="P65">
        <f t="shared" si="12"/>
        <v>138385.25215772726</v>
      </c>
      <c r="Q65">
        <f t="shared" si="12"/>
        <v>138385.25215772726</v>
      </c>
      <c r="R65">
        <f t="shared" si="12"/>
        <v>138385.25215772726</v>
      </c>
      <c r="S65">
        <f t="shared" si="12"/>
        <v>138385.25215772726</v>
      </c>
      <c r="T65">
        <f t="shared" si="12"/>
        <v>138385.25215772726</v>
      </c>
      <c r="U65">
        <f t="shared" si="12"/>
        <v>138385.25215772726</v>
      </c>
      <c r="V65">
        <f t="shared" si="12"/>
        <v>138385.25215772726</v>
      </c>
      <c r="W65">
        <f t="shared" si="12"/>
        <v>138385.25215772726</v>
      </c>
      <c r="X65">
        <f t="shared" si="12"/>
        <v>138385.25215772726</v>
      </c>
    </row>
    <row r="66" ht="13.5" thickBot="1"/>
    <row r="67" spans="1:3" ht="15.75" thickBot="1">
      <c r="A67" s="20" t="s">
        <v>41</v>
      </c>
      <c r="B67" s="18" t="s">
        <v>7</v>
      </c>
      <c r="C67" s="16">
        <f>C63*1000</f>
        <v>872784</v>
      </c>
    </row>
    <row r="68" spans="1:3" ht="12.75">
      <c r="A68" s="7"/>
      <c r="B68" s="8"/>
      <c r="C68" s="3"/>
    </row>
    <row r="69" spans="1:3" ht="12.75">
      <c r="A69" s="7"/>
      <c r="B69" s="8"/>
      <c r="C69" s="3"/>
    </row>
    <row r="70" spans="1:3" ht="12.75">
      <c r="A70" s="7"/>
      <c r="B70" s="8"/>
      <c r="C70" s="3"/>
    </row>
    <row r="71" spans="1:3" ht="12.75">
      <c r="A71" s="7"/>
      <c r="B71" s="8"/>
      <c r="C71" s="3"/>
    </row>
    <row r="72" ht="13.5" thickBot="1"/>
    <row r="73" spans="1:3" ht="33" thickBot="1" thickTop="1">
      <c r="A73" s="53" t="s">
        <v>58</v>
      </c>
      <c r="B73" s="38" t="s">
        <v>8</v>
      </c>
      <c r="C73" s="64">
        <f>IF(C67&gt;0,C28*100/C67*C26/100/(1-POWER(1+C26/100,-C25)),"")</f>
        <v>1.4394164327856314</v>
      </c>
    </row>
    <row r="74" ht="13.5" thickTop="1"/>
  </sheetData>
  <sheetProtection/>
  <mergeCells count="17">
    <mergeCell ref="A1:D1"/>
    <mergeCell ref="A2:D2"/>
    <mergeCell ref="A6:I6"/>
    <mergeCell ref="A7:C7"/>
    <mergeCell ref="A9:C9"/>
    <mergeCell ref="A11:C11"/>
    <mergeCell ref="A12:C12"/>
    <mergeCell ref="A13:C13"/>
    <mergeCell ref="A10:C10"/>
    <mergeCell ref="A8:C8"/>
    <mergeCell ref="A20:C20"/>
    <mergeCell ref="A18:C18"/>
    <mergeCell ref="A19:C19"/>
    <mergeCell ref="A14:C14"/>
    <mergeCell ref="A15:C15"/>
    <mergeCell ref="A16:C16"/>
    <mergeCell ref="A17:C17"/>
  </mergeCells>
  <printOptions gridLines="1"/>
  <pageMargins left="0.89" right="0.42" top="1" bottom="0.85" header="0.5" footer="0.5"/>
  <pageSetup fitToHeight="1" fitToWidth="1" horizontalDpi="200" verticalDpi="200" orientation="portrait" paperSize="9"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73"/>
  <sheetViews>
    <sheetView zoomScalePageLayoutView="0" workbookViewId="0" topLeftCell="A53">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5" t="s">
        <v>26</v>
      </c>
      <c r="B1" s="76"/>
      <c r="C1" s="77"/>
      <c r="D1" s="77"/>
      <c r="E1" s="2"/>
    </row>
    <row r="2" spans="1:5" ht="24" customHeight="1">
      <c r="A2" s="78" t="s">
        <v>57</v>
      </c>
      <c r="B2" s="77"/>
      <c r="C2" s="77"/>
      <c r="D2" s="77"/>
      <c r="E2" s="2"/>
    </row>
    <row r="3" spans="1:5" ht="24" customHeight="1">
      <c r="A3" s="56" t="s">
        <v>67</v>
      </c>
      <c r="B3" s="55"/>
      <c r="C3" s="55"/>
      <c r="D3" s="55"/>
      <c r="E3" s="2"/>
    </row>
    <row r="4" spans="1:5" ht="12" customHeight="1">
      <c r="A4" s="5"/>
      <c r="B4" s="2"/>
      <c r="C4" s="2"/>
      <c r="D4" s="2"/>
      <c r="E4" s="2"/>
    </row>
    <row r="5" spans="1:5" ht="12" customHeight="1" thickBot="1">
      <c r="A5" s="25" t="s">
        <v>4</v>
      </c>
      <c r="B5" s="2"/>
      <c r="C5" s="2"/>
      <c r="D5" s="2"/>
      <c r="E5" s="2"/>
    </row>
    <row r="6" spans="1:9" ht="132.75" customHeight="1" thickBot="1">
      <c r="A6" s="79" t="s">
        <v>59</v>
      </c>
      <c r="B6" s="80"/>
      <c r="C6" s="80"/>
      <c r="D6" s="80"/>
      <c r="E6" s="80"/>
      <c r="F6" s="80"/>
      <c r="G6" s="80"/>
      <c r="H6" s="80"/>
      <c r="I6" s="81"/>
    </row>
    <row r="7" spans="1:9" ht="15" customHeight="1" thickBot="1">
      <c r="A7" s="82" t="s">
        <v>25</v>
      </c>
      <c r="B7" s="83"/>
      <c r="C7" s="84"/>
      <c r="D7" s="36" t="s">
        <v>1</v>
      </c>
      <c r="E7" s="33"/>
      <c r="F7" s="33"/>
      <c r="G7" s="33"/>
      <c r="H7" s="33"/>
      <c r="I7" s="33"/>
    </row>
    <row r="8" spans="1:9" ht="15" customHeight="1" thickTop="1">
      <c r="A8" s="72" t="s">
        <v>28</v>
      </c>
      <c r="B8" s="73"/>
      <c r="C8" s="74"/>
      <c r="D8" s="34" t="s">
        <v>27</v>
      </c>
      <c r="E8" s="42">
        <v>143.6</v>
      </c>
      <c r="F8" s="33"/>
      <c r="G8" s="33"/>
      <c r="H8" s="33"/>
      <c r="I8" s="33"/>
    </row>
    <row r="9" spans="1:9" ht="15" customHeight="1">
      <c r="A9" s="68" t="s">
        <v>29</v>
      </c>
      <c r="B9" s="69"/>
      <c r="C9" s="70"/>
      <c r="D9" s="34" t="s">
        <v>27</v>
      </c>
      <c r="E9" s="42">
        <v>25</v>
      </c>
      <c r="F9" s="33"/>
      <c r="G9" s="33"/>
      <c r="H9" s="33"/>
      <c r="I9" s="33"/>
    </row>
    <row r="10" spans="1:9" ht="15" customHeight="1">
      <c r="A10" s="68" t="s">
        <v>55</v>
      </c>
      <c r="B10" s="71"/>
      <c r="C10" s="70"/>
      <c r="D10" s="34" t="s">
        <v>56</v>
      </c>
      <c r="E10" s="51">
        <v>20</v>
      </c>
      <c r="F10" s="33"/>
      <c r="G10" s="33"/>
      <c r="H10" s="33"/>
      <c r="I10" s="33"/>
    </row>
    <row r="11" spans="1:9" ht="15" customHeight="1">
      <c r="A11" s="68" t="s">
        <v>30</v>
      </c>
      <c r="B11" s="69"/>
      <c r="C11" s="70"/>
      <c r="D11" s="34" t="s">
        <v>27</v>
      </c>
      <c r="E11" s="42">
        <v>216</v>
      </c>
      <c r="F11" s="33"/>
      <c r="G11" s="33"/>
      <c r="H11" s="33"/>
      <c r="I11" s="33"/>
    </row>
    <row r="12" spans="1:9" ht="15" customHeight="1">
      <c r="A12" s="68" t="s">
        <v>31</v>
      </c>
      <c r="B12" s="69"/>
      <c r="C12" s="70"/>
      <c r="D12" s="34" t="s">
        <v>27</v>
      </c>
      <c r="E12" s="42">
        <v>80</v>
      </c>
      <c r="F12" s="33"/>
      <c r="G12" s="33"/>
      <c r="H12" s="33"/>
      <c r="I12" s="33"/>
    </row>
    <row r="13" spans="1:9" ht="15" customHeight="1">
      <c r="A13" s="68" t="s">
        <v>32</v>
      </c>
      <c r="B13" s="69"/>
      <c r="C13" s="70"/>
      <c r="D13" s="34" t="s">
        <v>27</v>
      </c>
      <c r="E13" s="42">
        <v>30</v>
      </c>
      <c r="F13" s="33"/>
      <c r="G13" s="33"/>
      <c r="H13" s="33"/>
      <c r="I13" s="33"/>
    </row>
    <row r="14" spans="1:9" ht="15" customHeight="1">
      <c r="A14" s="68" t="s">
        <v>33</v>
      </c>
      <c r="B14" s="69"/>
      <c r="C14" s="70"/>
      <c r="D14" s="34" t="s">
        <v>8</v>
      </c>
      <c r="E14" s="42">
        <v>36.4</v>
      </c>
      <c r="F14" s="33"/>
      <c r="G14" s="33"/>
      <c r="H14" s="33"/>
      <c r="I14" s="33"/>
    </row>
    <row r="15" spans="1:9" ht="15" customHeight="1">
      <c r="A15" s="68" t="s">
        <v>34</v>
      </c>
      <c r="B15" s="69"/>
      <c r="C15" s="70"/>
      <c r="D15" s="33"/>
      <c r="E15" s="42">
        <v>3</v>
      </c>
      <c r="F15" s="33"/>
      <c r="G15" s="33"/>
      <c r="H15" s="33"/>
      <c r="I15" s="33"/>
    </row>
    <row r="16" spans="1:9" ht="15" customHeight="1">
      <c r="A16" s="68" t="s">
        <v>37</v>
      </c>
      <c r="B16" s="69"/>
      <c r="C16" s="70"/>
      <c r="D16" s="34" t="s">
        <v>39</v>
      </c>
      <c r="E16" s="42">
        <v>186</v>
      </c>
      <c r="F16" s="33"/>
      <c r="G16" s="33"/>
      <c r="H16" s="33"/>
      <c r="I16" s="33"/>
    </row>
    <row r="17" spans="1:9" ht="15" customHeight="1">
      <c r="A17" s="68" t="s">
        <v>38</v>
      </c>
      <c r="B17" s="69"/>
      <c r="C17" s="70"/>
      <c r="D17" s="34" t="s">
        <v>39</v>
      </c>
      <c r="E17" s="42">
        <v>179</v>
      </c>
      <c r="F17" s="33"/>
      <c r="G17" s="33"/>
      <c r="H17" s="33"/>
      <c r="I17" s="33"/>
    </row>
    <row r="18" spans="1:9" ht="15" customHeight="1">
      <c r="A18" s="68" t="s">
        <v>49</v>
      </c>
      <c r="B18" s="69"/>
      <c r="C18" s="70"/>
      <c r="D18" s="34" t="s">
        <v>3</v>
      </c>
      <c r="E18" s="42">
        <v>88</v>
      </c>
      <c r="F18" s="42"/>
      <c r="G18" s="33"/>
      <c r="H18" s="33"/>
      <c r="I18" s="33"/>
    </row>
    <row r="19" spans="1:9" ht="15" customHeight="1">
      <c r="A19" s="68" t="s">
        <v>50</v>
      </c>
      <c r="B19" s="69"/>
      <c r="C19" s="70"/>
      <c r="D19" s="34" t="s">
        <v>51</v>
      </c>
      <c r="E19" s="42">
        <v>11000</v>
      </c>
      <c r="F19" s="42"/>
      <c r="G19" s="33"/>
      <c r="H19" s="33"/>
      <c r="I19" s="33"/>
    </row>
    <row r="20" spans="1:9" ht="15" customHeight="1" thickBot="1">
      <c r="A20" s="65" t="s">
        <v>53</v>
      </c>
      <c r="B20" s="66"/>
      <c r="C20" s="67"/>
      <c r="D20" s="34" t="s">
        <v>54</v>
      </c>
      <c r="E20" s="42">
        <v>1785</v>
      </c>
      <c r="F20" s="33"/>
      <c r="G20" s="33"/>
      <c r="H20" s="33"/>
      <c r="I20" s="33"/>
    </row>
    <row r="21" spans="1:9" ht="15" customHeight="1">
      <c r="A21" s="32"/>
      <c r="B21" s="37"/>
      <c r="C21" s="37"/>
      <c r="D21" s="33"/>
      <c r="E21" s="33"/>
      <c r="F21" s="33"/>
      <c r="G21" s="33"/>
      <c r="H21" s="33"/>
      <c r="I21" s="33"/>
    </row>
    <row r="22" spans="1:9" ht="15" customHeight="1">
      <c r="A22" s="32"/>
      <c r="B22" s="33"/>
      <c r="C22" s="33"/>
      <c r="D22" s="33"/>
      <c r="E22" s="33"/>
      <c r="F22" s="33"/>
      <c r="G22" s="33"/>
      <c r="H22" s="33"/>
      <c r="I22" s="33"/>
    </row>
    <row r="23" spans="1:5" ht="15" customHeight="1" thickBot="1">
      <c r="A23" s="1"/>
      <c r="B23" s="2"/>
      <c r="C23" s="2"/>
      <c r="D23" s="2"/>
      <c r="E23" s="2"/>
    </row>
    <row r="24" spans="1:3" ht="14.25" thickBot="1" thickTop="1">
      <c r="A24" s="35" t="s">
        <v>0</v>
      </c>
      <c r="B24" s="4" t="s">
        <v>1</v>
      </c>
      <c r="C24" s="3"/>
    </row>
    <row r="25" spans="1:3" ht="25.5" customHeight="1" thickTop="1">
      <c r="A25" s="19" t="s">
        <v>21</v>
      </c>
      <c r="B25" s="39" t="s">
        <v>6</v>
      </c>
      <c r="C25" s="40">
        <f>E10</f>
        <v>20</v>
      </c>
    </row>
    <row r="26" spans="1:54" ht="15" thickBot="1">
      <c r="A26" s="17" t="s">
        <v>2</v>
      </c>
      <c r="B26" s="39" t="s">
        <v>3</v>
      </c>
      <c r="C26" s="41">
        <v>8</v>
      </c>
      <c r="D26" s="15">
        <v>1</v>
      </c>
      <c r="E26" s="15">
        <f>1/(1+C26/100)</f>
        <v>0.9259259259259258</v>
      </c>
      <c r="F26" s="15">
        <f aca="true" t="shared" si="0" ref="F26:AK26">E26/(1+$C26/100)</f>
        <v>0.8573388203017831</v>
      </c>
      <c r="G26" s="15">
        <f t="shared" si="0"/>
        <v>0.7938322410201695</v>
      </c>
      <c r="H26" s="15">
        <f t="shared" si="0"/>
        <v>0.7350298527964532</v>
      </c>
      <c r="I26" s="15">
        <f t="shared" si="0"/>
        <v>0.6805831970337529</v>
      </c>
      <c r="J26" s="15">
        <f t="shared" si="0"/>
        <v>0.6301696268831045</v>
      </c>
      <c r="K26" s="15">
        <f t="shared" si="0"/>
        <v>0.5834903952621338</v>
      </c>
      <c r="L26" s="15">
        <f t="shared" si="0"/>
        <v>0.5402688845019756</v>
      </c>
      <c r="M26" s="15">
        <f t="shared" si="0"/>
        <v>0.5002489671314588</v>
      </c>
      <c r="N26" s="15">
        <f t="shared" si="0"/>
        <v>0.4631934880846841</v>
      </c>
      <c r="O26" s="15">
        <f t="shared" si="0"/>
        <v>0.4288828593376704</v>
      </c>
      <c r="P26" s="15">
        <f t="shared" si="0"/>
        <v>0.3971137586459911</v>
      </c>
      <c r="Q26" s="15">
        <f t="shared" si="0"/>
        <v>0.36769792467221396</v>
      </c>
      <c r="R26" s="15">
        <f t="shared" si="0"/>
        <v>0.3404610413631611</v>
      </c>
      <c r="S26" s="15">
        <f t="shared" si="0"/>
        <v>0.3152417049658899</v>
      </c>
      <c r="T26" s="15">
        <f t="shared" si="0"/>
        <v>0.2918904675610091</v>
      </c>
      <c r="U26" s="15">
        <f t="shared" si="0"/>
        <v>0.27026895144537877</v>
      </c>
      <c r="V26" s="15">
        <f t="shared" si="0"/>
        <v>0.2502490291160914</v>
      </c>
      <c r="W26" s="15">
        <f t="shared" si="0"/>
        <v>0.23171206399638095</v>
      </c>
      <c r="X26" s="15">
        <f t="shared" si="0"/>
        <v>0.21454820740405642</v>
      </c>
      <c r="Y26" s="15">
        <f t="shared" si="0"/>
        <v>0.19865574759634852</v>
      </c>
      <c r="Z26" s="15">
        <f t="shared" si="0"/>
        <v>0.18394050703365603</v>
      </c>
      <c r="AA26" s="15">
        <f t="shared" si="0"/>
        <v>0.17031528429042223</v>
      </c>
      <c r="AB26" s="15">
        <f t="shared" si="0"/>
        <v>0.15769933730594649</v>
      </c>
      <c r="AC26" s="15">
        <f t="shared" si="0"/>
        <v>0.14601790491291342</v>
      </c>
      <c r="AD26" s="15">
        <f t="shared" si="0"/>
        <v>0.13520176380825316</v>
      </c>
      <c r="AE26" s="15">
        <f t="shared" si="0"/>
        <v>0.12518681834097514</v>
      </c>
      <c r="AF26" s="15">
        <f t="shared" si="0"/>
        <v>0.11591372068608809</v>
      </c>
      <c r="AG26" s="15">
        <f t="shared" si="0"/>
        <v>0.10732751915378526</v>
      </c>
      <c r="AH26" s="15">
        <f t="shared" si="0"/>
        <v>0.09937733254980116</v>
      </c>
      <c r="AI26" s="15">
        <f t="shared" si="0"/>
        <v>0.09201604865722329</v>
      </c>
      <c r="AJ26" s="15">
        <f t="shared" si="0"/>
        <v>0.08520004505298452</v>
      </c>
      <c r="AK26" s="15">
        <f t="shared" si="0"/>
        <v>0.0788889306046153</v>
      </c>
      <c r="AL26" s="15">
        <f aca="true" t="shared" si="1" ref="AL26:BB26">AK26/(1+$C26/100)</f>
        <v>0.07304530611538453</v>
      </c>
      <c r="AM26" s="15">
        <f t="shared" si="1"/>
        <v>0.06763454269943012</v>
      </c>
      <c r="AN26" s="15">
        <f t="shared" si="1"/>
        <v>0.0626245765735464</v>
      </c>
      <c r="AO26" s="15">
        <f t="shared" si="1"/>
        <v>0.057985719049580005</v>
      </c>
      <c r="AP26" s="15">
        <f t="shared" si="1"/>
        <v>0.05369048060146296</v>
      </c>
      <c r="AQ26" s="15">
        <f t="shared" si="1"/>
        <v>0.04971340796431755</v>
      </c>
      <c r="AR26" s="15">
        <f t="shared" si="1"/>
        <v>0.04603093330029402</v>
      </c>
      <c r="AS26" s="15">
        <f t="shared" si="1"/>
        <v>0.042621234537309274</v>
      </c>
      <c r="AT26" s="15">
        <f t="shared" si="1"/>
        <v>0.03946410605306414</v>
      </c>
      <c r="AU26" s="15">
        <f t="shared" si="1"/>
        <v>0.03654083893802235</v>
      </c>
      <c r="AV26" s="15">
        <f t="shared" si="1"/>
        <v>0.033834110127798474</v>
      </c>
      <c r="AW26" s="15">
        <f t="shared" si="1"/>
        <v>0.03132787974796155</v>
      </c>
      <c r="AX26" s="15">
        <f t="shared" si="1"/>
        <v>0.02900729606292736</v>
      </c>
      <c r="AY26" s="15">
        <f t="shared" si="1"/>
        <v>0.02685860746567348</v>
      </c>
      <c r="AZ26" s="15">
        <f t="shared" si="1"/>
        <v>0.0248690809867347</v>
      </c>
      <c r="BA26" s="15">
        <f t="shared" si="1"/>
        <v>0.023026926839569164</v>
      </c>
      <c r="BB26" s="15">
        <f t="shared" si="1"/>
        <v>0.02132122855515663</v>
      </c>
    </row>
    <row r="27" ht="15" thickBot="1">
      <c r="D27" s="29" t="s">
        <v>5</v>
      </c>
    </row>
    <row r="28" spans="1:54" ht="15.75" thickBot="1">
      <c r="A28" s="20" t="s">
        <v>20</v>
      </c>
      <c r="B28" s="18" t="s">
        <v>17</v>
      </c>
      <c r="C28" s="16">
        <f>C29+C49</f>
        <v>-97810.6614928646</v>
      </c>
      <c r="D28" s="29">
        <v>0</v>
      </c>
      <c r="E28" s="29">
        <f aca="true" t="shared" si="2" ref="E28:AJ28">IF(D28&lt;$C25,D28+1,"")</f>
        <v>1</v>
      </c>
      <c r="F28" s="29">
        <f t="shared" si="2"/>
        <v>2</v>
      </c>
      <c r="G28" s="29">
        <f t="shared" si="2"/>
        <v>3</v>
      </c>
      <c r="H28" s="29">
        <f t="shared" si="2"/>
        <v>4</v>
      </c>
      <c r="I28" s="29">
        <f t="shared" si="2"/>
        <v>5</v>
      </c>
      <c r="J28" s="29">
        <f t="shared" si="2"/>
        <v>6</v>
      </c>
      <c r="K28" s="29">
        <f t="shared" si="2"/>
        <v>7</v>
      </c>
      <c r="L28" s="29">
        <f t="shared" si="2"/>
        <v>8</v>
      </c>
      <c r="M28" s="29">
        <f t="shared" si="2"/>
        <v>9</v>
      </c>
      <c r="N28" s="29">
        <f t="shared" si="2"/>
        <v>10</v>
      </c>
      <c r="O28" s="29">
        <f t="shared" si="2"/>
        <v>11</v>
      </c>
      <c r="P28" s="29">
        <f t="shared" si="2"/>
        <v>12</v>
      </c>
      <c r="Q28" s="29">
        <f t="shared" si="2"/>
        <v>13</v>
      </c>
      <c r="R28" s="29">
        <f t="shared" si="2"/>
        <v>14</v>
      </c>
      <c r="S28" s="29">
        <f t="shared" si="2"/>
        <v>15</v>
      </c>
      <c r="T28" s="29">
        <f t="shared" si="2"/>
        <v>16</v>
      </c>
      <c r="U28" s="29">
        <f t="shared" si="2"/>
        <v>17</v>
      </c>
      <c r="V28" s="29">
        <f t="shared" si="2"/>
        <v>18</v>
      </c>
      <c r="W28" s="29">
        <f t="shared" si="2"/>
        <v>19</v>
      </c>
      <c r="X28" s="29">
        <f t="shared" si="2"/>
        <v>20</v>
      </c>
      <c r="Y28" s="29">
        <f t="shared" si="2"/>
      </c>
      <c r="Z28" s="29">
        <f t="shared" si="2"/>
      </c>
      <c r="AA28" s="29">
        <f t="shared" si="2"/>
      </c>
      <c r="AB28" s="29">
        <f t="shared" si="2"/>
      </c>
      <c r="AC28" s="29">
        <f t="shared" si="2"/>
      </c>
      <c r="AD28" s="29">
        <f t="shared" si="2"/>
      </c>
      <c r="AE28" s="29">
        <f t="shared" si="2"/>
      </c>
      <c r="AF28" s="29">
        <f t="shared" si="2"/>
      </c>
      <c r="AG28" s="29">
        <f t="shared" si="2"/>
      </c>
      <c r="AH28" s="29">
        <f t="shared" si="2"/>
      </c>
      <c r="AI28" s="29">
        <f t="shared" si="2"/>
      </c>
      <c r="AJ28" s="29">
        <f t="shared" si="2"/>
      </c>
      <c r="AK28" s="29">
        <f aca="true" t="shared" si="3" ref="AK28:BB28">IF(AJ28&lt;$C25,AJ28+1,"")</f>
      </c>
      <c r="AL28" s="29">
        <f t="shared" si="3"/>
      </c>
      <c r="AM28" s="29">
        <f t="shared" si="3"/>
      </c>
      <c r="AN28" s="29">
        <f t="shared" si="3"/>
      </c>
      <c r="AO28" s="29">
        <f t="shared" si="3"/>
      </c>
      <c r="AP28" s="29">
        <f t="shared" si="3"/>
      </c>
      <c r="AQ28" s="29">
        <f t="shared" si="3"/>
      </c>
      <c r="AR28" s="29">
        <f t="shared" si="3"/>
      </c>
      <c r="AS28" s="29">
        <f t="shared" si="3"/>
      </c>
      <c r="AT28" s="29">
        <f t="shared" si="3"/>
      </c>
      <c r="AU28" s="29">
        <f t="shared" si="3"/>
      </c>
      <c r="AV28" s="29">
        <f t="shared" si="3"/>
      </c>
      <c r="AW28" s="29">
        <f t="shared" si="3"/>
      </c>
      <c r="AX28" s="29">
        <f t="shared" si="3"/>
      </c>
      <c r="AY28" s="29">
        <f t="shared" si="3"/>
      </c>
      <c r="AZ28" s="29">
        <f t="shared" si="3"/>
      </c>
      <c r="BA28" s="29">
        <f t="shared" si="3"/>
      </c>
      <c r="BB28" s="29">
        <f t="shared" si="3"/>
      </c>
    </row>
    <row r="29" spans="1:54" ht="19.5" thickBot="1">
      <c r="A29" s="26" t="s">
        <v>9</v>
      </c>
      <c r="B29" s="21" t="s">
        <v>17</v>
      </c>
      <c r="C29" s="16">
        <f>SUM(D29:BB29)</f>
        <v>221156.01122933713</v>
      </c>
      <c r="D29" s="27">
        <f aca="true" t="shared" si="4" ref="D29:AI29">D30*D26</f>
        <v>221156.01122933713</v>
      </c>
      <c r="E29" s="27">
        <f t="shared" si="4"/>
        <v>0</v>
      </c>
      <c r="F29" s="27">
        <f t="shared" si="4"/>
        <v>0</v>
      </c>
      <c r="G29" s="27">
        <f t="shared" si="4"/>
        <v>0</v>
      </c>
      <c r="H29" s="27">
        <f t="shared" si="4"/>
        <v>0</v>
      </c>
      <c r="I29" s="27">
        <f t="shared" si="4"/>
        <v>0</v>
      </c>
      <c r="J29" s="27">
        <f t="shared" si="4"/>
        <v>0</v>
      </c>
      <c r="K29" s="27">
        <f t="shared" si="4"/>
        <v>0</v>
      </c>
      <c r="L29" s="27">
        <f t="shared" si="4"/>
        <v>0</v>
      </c>
      <c r="M29" s="27">
        <f t="shared" si="4"/>
        <v>0</v>
      </c>
      <c r="N29" s="27">
        <f t="shared" si="4"/>
        <v>0</v>
      </c>
      <c r="O29" s="27">
        <f t="shared" si="4"/>
        <v>0</v>
      </c>
      <c r="P29" s="27">
        <f t="shared" si="4"/>
        <v>0</v>
      </c>
      <c r="Q29" s="27">
        <f t="shared" si="4"/>
        <v>0</v>
      </c>
      <c r="R29" s="27">
        <f t="shared" si="4"/>
        <v>0</v>
      </c>
      <c r="S29" s="27">
        <f t="shared" si="4"/>
        <v>0</v>
      </c>
      <c r="T29" s="27">
        <f t="shared" si="4"/>
        <v>0</v>
      </c>
      <c r="U29" s="27">
        <f t="shared" si="4"/>
        <v>0</v>
      </c>
      <c r="V29" s="27">
        <f t="shared" si="4"/>
        <v>0</v>
      </c>
      <c r="W29" s="27">
        <f t="shared" si="4"/>
        <v>0</v>
      </c>
      <c r="X29" s="27">
        <f t="shared" si="4"/>
        <v>0</v>
      </c>
      <c r="Y29" s="27">
        <f t="shared" si="4"/>
        <v>0</v>
      </c>
      <c r="Z29" s="27">
        <f t="shared" si="4"/>
        <v>0</v>
      </c>
      <c r="AA29" s="27">
        <f t="shared" si="4"/>
        <v>0</v>
      </c>
      <c r="AB29" s="27">
        <f t="shared" si="4"/>
        <v>0</v>
      </c>
      <c r="AC29" s="27">
        <f t="shared" si="4"/>
        <v>0</v>
      </c>
      <c r="AD29" s="27">
        <f t="shared" si="4"/>
        <v>0</v>
      </c>
      <c r="AE29" s="27">
        <f t="shared" si="4"/>
        <v>0</v>
      </c>
      <c r="AF29" s="27">
        <f t="shared" si="4"/>
        <v>0</v>
      </c>
      <c r="AG29" s="27">
        <f t="shared" si="4"/>
        <v>0</v>
      </c>
      <c r="AH29" s="27">
        <f t="shared" si="4"/>
        <v>0</v>
      </c>
      <c r="AI29" s="27">
        <f t="shared" si="4"/>
        <v>0</v>
      </c>
      <c r="AJ29" s="27">
        <f aca="true" t="shared" si="5" ref="AJ29:BB29">AJ30*AJ26</f>
        <v>0</v>
      </c>
      <c r="AK29" s="27">
        <f t="shared" si="5"/>
        <v>0</v>
      </c>
      <c r="AL29" s="27">
        <f t="shared" si="5"/>
        <v>0</v>
      </c>
      <c r="AM29" s="27">
        <f t="shared" si="5"/>
        <v>0</v>
      </c>
      <c r="AN29" s="27">
        <f t="shared" si="5"/>
        <v>0</v>
      </c>
      <c r="AO29" s="27">
        <f t="shared" si="5"/>
        <v>0</v>
      </c>
      <c r="AP29" s="27">
        <f t="shared" si="5"/>
        <v>0</v>
      </c>
      <c r="AQ29" s="27">
        <f t="shared" si="5"/>
        <v>0</v>
      </c>
      <c r="AR29" s="27">
        <f t="shared" si="5"/>
        <v>0</v>
      </c>
      <c r="AS29" s="27">
        <f t="shared" si="5"/>
        <v>0</v>
      </c>
      <c r="AT29" s="27">
        <f t="shared" si="5"/>
        <v>0</v>
      </c>
      <c r="AU29" s="27">
        <f t="shared" si="5"/>
        <v>0</v>
      </c>
      <c r="AV29" s="27">
        <f t="shared" si="5"/>
        <v>0</v>
      </c>
      <c r="AW29" s="27">
        <f t="shared" si="5"/>
        <v>0</v>
      </c>
      <c r="AX29" s="27">
        <f t="shared" si="5"/>
        <v>0</v>
      </c>
      <c r="AY29" s="27">
        <f t="shared" si="5"/>
        <v>0</v>
      </c>
      <c r="AZ29" s="27">
        <f t="shared" si="5"/>
        <v>0</v>
      </c>
      <c r="BA29" s="27">
        <f t="shared" si="5"/>
        <v>0</v>
      </c>
      <c r="BB29" s="27">
        <f t="shared" si="5"/>
        <v>0</v>
      </c>
    </row>
    <row r="30" spans="1:54" ht="14.25" customHeight="1">
      <c r="A30" s="30" t="s">
        <v>23</v>
      </c>
      <c r="B30" s="28" t="s">
        <v>17</v>
      </c>
      <c r="C30" s="12">
        <f>(C32+C33+C34+C38+C40)*1000</f>
        <v>494600</v>
      </c>
      <c r="D30" s="50">
        <f>D32+D33+D34+D39+D41</f>
        <v>221156.01122933713</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3" ht="12.75">
      <c r="A31" s="13" t="s">
        <v>10</v>
      </c>
      <c r="C31" s="9"/>
    </row>
    <row r="32" spans="1:4" ht="12.75">
      <c r="A32" s="43" t="s">
        <v>35</v>
      </c>
      <c r="B32" s="44" t="s">
        <v>27</v>
      </c>
      <c r="C32" s="45">
        <f>E8</f>
        <v>143.6</v>
      </c>
      <c r="D32" s="57">
        <f>C32*1000*0.5</f>
        <v>71800</v>
      </c>
    </row>
    <row r="33" spans="1:4" ht="12.75">
      <c r="A33" s="43" t="s">
        <v>29</v>
      </c>
      <c r="B33" s="44" t="s">
        <v>27</v>
      </c>
      <c r="C33" s="45">
        <f>E9</f>
        <v>25</v>
      </c>
      <c r="D33" s="57">
        <f>C33*1000*0.5</f>
        <v>12500</v>
      </c>
    </row>
    <row r="34" spans="1:4" ht="12.75">
      <c r="A34" s="46" t="s">
        <v>36</v>
      </c>
      <c r="B34" s="44" t="s">
        <v>27</v>
      </c>
      <c r="C34" s="45">
        <f>E13</f>
        <v>30</v>
      </c>
      <c r="D34" s="57">
        <f>C34*1000*0.5</f>
        <v>15000</v>
      </c>
    </row>
    <row r="35" ht="12.75">
      <c r="C35" s="9"/>
    </row>
    <row r="36" ht="12.75">
      <c r="A36" s="13" t="s">
        <v>11</v>
      </c>
    </row>
    <row r="37" spans="1:3" ht="12.75">
      <c r="A37" s="46" t="s">
        <v>61</v>
      </c>
      <c r="B37" s="47" t="s">
        <v>56</v>
      </c>
      <c r="C37" s="46">
        <v>40</v>
      </c>
    </row>
    <row r="38" spans="1:3" ht="12.75">
      <c r="A38" s="46" t="s">
        <v>31</v>
      </c>
      <c r="B38" s="47" t="s">
        <v>27</v>
      </c>
      <c r="C38" s="46">
        <f>E12</f>
        <v>80</v>
      </c>
    </row>
    <row r="39" spans="1:4" ht="12.75">
      <c r="A39" s="46" t="s">
        <v>60</v>
      </c>
      <c r="B39" s="47" t="s">
        <v>27</v>
      </c>
      <c r="C39" s="52">
        <f>C38*C43</f>
        <v>65.86811417802008</v>
      </c>
      <c r="D39" s="58">
        <f>C39*1000*0.5</f>
        <v>32934.05708901004</v>
      </c>
    </row>
    <row r="40" spans="1:4" ht="12.75">
      <c r="A40" s="43" t="s">
        <v>30</v>
      </c>
      <c r="B40" s="44" t="s">
        <v>27</v>
      </c>
      <c r="C40" s="52">
        <f>E11</f>
        <v>216</v>
      </c>
      <c r="D40" s="48"/>
    </row>
    <row r="41" spans="1:4" ht="12.75">
      <c r="A41" s="46" t="s">
        <v>62</v>
      </c>
      <c r="B41" s="44" t="s">
        <v>27</v>
      </c>
      <c r="C41" s="52">
        <f>C40*C43</f>
        <v>177.8439082806542</v>
      </c>
      <c r="D41" s="58">
        <f>C41*1000*0.5</f>
        <v>88921.9541403271</v>
      </c>
    </row>
    <row r="42" spans="1:3" ht="12.75">
      <c r="A42" s="11" t="s">
        <v>19</v>
      </c>
      <c r="B42" s="8" t="s">
        <v>17</v>
      </c>
      <c r="C42" s="24"/>
    </row>
    <row r="43" spans="1:3" ht="14.25" customHeight="1">
      <c r="A43" s="23" t="s">
        <v>22</v>
      </c>
      <c r="B43" s="22"/>
      <c r="C43" s="17">
        <f>(1-POWER(1+C26/100,-C25))/(1-POWER(1+C26/100,-C37))</f>
        <v>0.8233514272252509</v>
      </c>
    </row>
    <row r="44" spans="1:3" ht="12.75">
      <c r="A44" s="10"/>
      <c r="B44" s="8"/>
      <c r="C44" s="12"/>
    </row>
    <row r="45" spans="1:3" ht="12.75">
      <c r="A45" s="10"/>
      <c r="C45" s="12"/>
    </row>
    <row r="46" spans="1:3" ht="12.75">
      <c r="A46" s="14" t="s">
        <v>12</v>
      </c>
      <c r="C46" s="12"/>
    </row>
    <row r="47" spans="1:3" ht="12.75">
      <c r="A47" s="10"/>
      <c r="C47" s="12"/>
    </row>
    <row r="48" spans="4:54" ht="15" thickBot="1">
      <c r="D48" s="29" t="s">
        <v>5</v>
      </c>
      <c r="E48" s="29">
        <f aca="true" t="shared" si="6" ref="E48:AJ48">E28</f>
        <v>1</v>
      </c>
      <c r="F48" s="29">
        <f t="shared" si="6"/>
        <v>2</v>
      </c>
      <c r="G48" s="29">
        <f t="shared" si="6"/>
        <v>3</v>
      </c>
      <c r="H48" s="29">
        <f t="shared" si="6"/>
        <v>4</v>
      </c>
      <c r="I48" s="29">
        <f t="shared" si="6"/>
        <v>5</v>
      </c>
      <c r="J48" s="29">
        <f t="shared" si="6"/>
        <v>6</v>
      </c>
      <c r="K48" s="29">
        <f t="shared" si="6"/>
        <v>7</v>
      </c>
      <c r="L48" s="29">
        <f t="shared" si="6"/>
        <v>8</v>
      </c>
      <c r="M48" s="29">
        <f t="shared" si="6"/>
        <v>9</v>
      </c>
      <c r="N48" s="29">
        <f t="shared" si="6"/>
        <v>10</v>
      </c>
      <c r="O48" s="29">
        <f t="shared" si="6"/>
        <v>11</v>
      </c>
      <c r="P48" s="29">
        <f t="shared" si="6"/>
        <v>12</v>
      </c>
      <c r="Q48" s="29">
        <f t="shared" si="6"/>
        <v>13</v>
      </c>
      <c r="R48" s="29">
        <f t="shared" si="6"/>
        <v>14</v>
      </c>
      <c r="S48" s="29">
        <f t="shared" si="6"/>
        <v>15</v>
      </c>
      <c r="T48" s="29">
        <f t="shared" si="6"/>
        <v>16</v>
      </c>
      <c r="U48" s="29">
        <f t="shared" si="6"/>
        <v>17</v>
      </c>
      <c r="V48" s="29">
        <f t="shared" si="6"/>
        <v>18</v>
      </c>
      <c r="W48" s="29">
        <f t="shared" si="6"/>
        <v>19</v>
      </c>
      <c r="X48" s="29">
        <f t="shared" si="6"/>
        <v>20</v>
      </c>
      <c r="Y48" s="29">
        <f t="shared" si="6"/>
      </c>
      <c r="Z48" s="29">
        <f t="shared" si="6"/>
      </c>
      <c r="AA48" s="29">
        <f t="shared" si="6"/>
      </c>
      <c r="AB48" s="29">
        <f t="shared" si="6"/>
      </c>
      <c r="AC48" s="29">
        <f t="shared" si="6"/>
      </c>
      <c r="AD48" s="29">
        <f t="shared" si="6"/>
      </c>
      <c r="AE48" s="29">
        <f t="shared" si="6"/>
      </c>
      <c r="AF48" s="29">
        <f t="shared" si="6"/>
      </c>
      <c r="AG48" s="29">
        <f t="shared" si="6"/>
      </c>
      <c r="AH48" s="29">
        <f t="shared" si="6"/>
      </c>
      <c r="AI48" s="29">
        <f t="shared" si="6"/>
      </c>
      <c r="AJ48" s="29">
        <f t="shared" si="6"/>
      </c>
      <c r="AK48" s="29">
        <f aca="true" t="shared" si="7" ref="AK48:BB48">AK28</f>
      </c>
      <c r="AL48" s="29">
        <f t="shared" si="7"/>
      </c>
      <c r="AM48" s="29">
        <f t="shared" si="7"/>
      </c>
      <c r="AN48" s="29">
        <f t="shared" si="7"/>
      </c>
      <c r="AO48" s="29">
        <f t="shared" si="7"/>
      </c>
      <c r="AP48" s="29">
        <f t="shared" si="7"/>
      </c>
      <c r="AQ48" s="29">
        <f t="shared" si="7"/>
      </c>
      <c r="AR48" s="29">
        <f t="shared" si="7"/>
      </c>
      <c r="AS48" s="29">
        <f t="shared" si="7"/>
      </c>
      <c r="AT48" s="29">
        <f t="shared" si="7"/>
      </c>
      <c r="AU48" s="29">
        <f t="shared" si="7"/>
      </c>
      <c r="AV48" s="29">
        <f t="shared" si="7"/>
      </c>
      <c r="AW48" s="29">
        <f t="shared" si="7"/>
      </c>
      <c r="AX48" s="29">
        <f t="shared" si="7"/>
      </c>
      <c r="AY48" s="29">
        <f t="shared" si="7"/>
      </c>
      <c r="AZ48" s="29">
        <f t="shared" si="7"/>
      </c>
      <c r="BA48" s="29">
        <f t="shared" si="7"/>
      </c>
      <c r="BB48" s="29">
        <f t="shared" si="7"/>
      </c>
    </row>
    <row r="49" spans="1:54" ht="19.5" thickBot="1">
      <c r="A49" s="26" t="s">
        <v>15</v>
      </c>
      <c r="B49" s="22" t="s">
        <v>17</v>
      </c>
      <c r="C49" s="16">
        <f>SUM(E49:BB49)</f>
        <v>-318966.67272220174</v>
      </c>
      <c r="D49" s="2"/>
      <c r="E49" s="27">
        <f aca="true" t="shared" si="8" ref="E49:AJ49">E50*E26</f>
        <v>-30080.981627525234</v>
      </c>
      <c r="F49" s="27">
        <f t="shared" si="8"/>
        <v>-27852.760766227064</v>
      </c>
      <c r="G49" s="27">
        <f t="shared" si="8"/>
        <v>-25789.593302062094</v>
      </c>
      <c r="H49" s="27">
        <f t="shared" si="8"/>
        <v>-23879.253057464903</v>
      </c>
      <c r="I49" s="27">
        <f t="shared" si="8"/>
        <v>-22110.419497652685</v>
      </c>
      <c r="J49" s="27">
        <f t="shared" si="8"/>
        <v>-20472.61064597471</v>
      </c>
      <c r="K49" s="27">
        <f t="shared" si="8"/>
        <v>-18956.1209684951</v>
      </c>
      <c r="L49" s="27">
        <f t="shared" si="8"/>
        <v>-17551.96385971768</v>
      </c>
      <c r="M49" s="27">
        <f t="shared" si="8"/>
        <v>-16251.81838862748</v>
      </c>
      <c r="N49" s="27">
        <f t="shared" si="8"/>
        <v>-15047.979989469888</v>
      </c>
      <c r="O49" s="27">
        <f t="shared" si="8"/>
        <v>-13933.31480506471</v>
      </c>
      <c r="P49" s="27">
        <f t="shared" si="8"/>
        <v>-12901.217412096952</v>
      </c>
      <c r="Q49" s="27">
        <f t="shared" si="8"/>
        <v>-11945.571677867549</v>
      </c>
      <c r="R49" s="27">
        <f t="shared" si="8"/>
        <v>-11060.714516544027</v>
      </c>
      <c r="S49" s="27">
        <f t="shared" si="8"/>
        <v>-10241.402330133358</v>
      </c>
      <c r="T49" s="27">
        <f t="shared" si="8"/>
        <v>-9482.779935308663</v>
      </c>
      <c r="U49" s="27">
        <f t="shared" si="8"/>
        <v>-8780.351791952466</v>
      </c>
      <c r="V49" s="27">
        <f t="shared" si="8"/>
        <v>-8129.955362918948</v>
      </c>
      <c r="W49" s="27">
        <f t="shared" si="8"/>
        <v>-7527.736447147174</v>
      </c>
      <c r="X49" s="27">
        <f t="shared" si="8"/>
        <v>-6970.126339951086</v>
      </c>
      <c r="Y49" s="27">
        <f t="shared" si="8"/>
        <v>0</v>
      </c>
      <c r="Z49" s="27">
        <f t="shared" si="8"/>
        <v>0</v>
      </c>
      <c r="AA49" s="27">
        <f t="shared" si="8"/>
        <v>0</v>
      </c>
      <c r="AB49" s="27">
        <f t="shared" si="8"/>
        <v>0</v>
      </c>
      <c r="AC49" s="27">
        <f t="shared" si="8"/>
        <v>0</v>
      </c>
      <c r="AD49" s="27">
        <f t="shared" si="8"/>
        <v>0</v>
      </c>
      <c r="AE49" s="27">
        <f t="shared" si="8"/>
        <v>0</v>
      </c>
      <c r="AF49" s="27">
        <f t="shared" si="8"/>
        <v>0</v>
      </c>
      <c r="AG49" s="27">
        <f t="shared" si="8"/>
        <v>0</v>
      </c>
      <c r="AH49" s="27">
        <f t="shared" si="8"/>
        <v>0</v>
      </c>
      <c r="AI49" s="27">
        <f t="shared" si="8"/>
        <v>0</v>
      </c>
      <c r="AJ49" s="27">
        <f t="shared" si="8"/>
        <v>0</v>
      </c>
      <c r="AK49" s="27">
        <f aca="true" t="shared" si="9" ref="AK49:BB49">AK50*AK26</f>
        <v>0</v>
      </c>
      <c r="AL49" s="27">
        <f t="shared" si="9"/>
        <v>0</v>
      </c>
      <c r="AM49" s="27">
        <f t="shared" si="9"/>
        <v>0</v>
      </c>
      <c r="AN49" s="27">
        <f t="shared" si="9"/>
        <v>0</v>
      </c>
      <c r="AO49" s="27">
        <f t="shared" si="9"/>
        <v>0</v>
      </c>
      <c r="AP49" s="27">
        <f t="shared" si="9"/>
        <v>0</v>
      </c>
      <c r="AQ49" s="27">
        <f t="shared" si="9"/>
        <v>0</v>
      </c>
      <c r="AR49" s="27">
        <f t="shared" si="9"/>
        <v>0</v>
      </c>
      <c r="AS49" s="27">
        <f t="shared" si="9"/>
        <v>0</v>
      </c>
      <c r="AT49" s="27">
        <f t="shared" si="9"/>
        <v>0</v>
      </c>
      <c r="AU49" s="27">
        <f t="shared" si="9"/>
        <v>0</v>
      </c>
      <c r="AV49" s="27">
        <f t="shared" si="9"/>
        <v>0</v>
      </c>
      <c r="AW49" s="27">
        <f t="shared" si="9"/>
        <v>0</v>
      </c>
      <c r="AX49" s="27">
        <f t="shared" si="9"/>
        <v>0</v>
      </c>
      <c r="AY49" s="27">
        <f t="shared" si="9"/>
        <v>0</v>
      </c>
      <c r="AZ49" s="27">
        <f t="shared" si="9"/>
        <v>0</v>
      </c>
      <c r="BA49" s="27">
        <f t="shared" si="9"/>
        <v>0</v>
      </c>
      <c r="BB49" s="27">
        <f t="shared" si="9"/>
        <v>0</v>
      </c>
    </row>
    <row r="50" spans="1:54" ht="15.75" thickBot="1">
      <c r="A50" s="30" t="s">
        <v>24</v>
      </c>
      <c r="B50" s="8" t="s">
        <v>17</v>
      </c>
      <c r="C50" s="16">
        <f>SUM(E50:BB50)</f>
        <v>-649749.2031545449</v>
      </c>
      <c r="E50" s="31">
        <f aca="true" t="shared" si="10" ref="E50:X50">E55-E65</f>
        <v>-32487.460157727255</v>
      </c>
      <c r="F50" s="31">
        <f t="shared" si="10"/>
        <v>-32487.460157727255</v>
      </c>
      <c r="G50" s="31">
        <f t="shared" si="10"/>
        <v>-32487.460157727255</v>
      </c>
      <c r="H50" s="31">
        <f t="shared" si="10"/>
        <v>-32487.460157727255</v>
      </c>
      <c r="I50" s="31">
        <f t="shared" si="10"/>
        <v>-32487.460157727255</v>
      </c>
      <c r="J50" s="31">
        <f t="shared" si="10"/>
        <v>-32487.460157727255</v>
      </c>
      <c r="K50" s="31">
        <f t="shared" si="10"/>
        <v>-32487.460157727255</v>
      </c>
      <c r="L50" s="31">
        <f t="shared" si="10"/>
        <v>-32487.460157727255</v>
      </c>
      <c r="M50" s="31">
        <f t="shared" si="10"/>
        <v>-32487.460157727255</v>
      </c>
      <c r="N50" s="31">
        <f t="shared" si="10"/>
        <v>-32487.460157727255</v>
      </c>
      <c r="O50" s="31">
        <f t="shared" si="10"/>
        <v>-32487.460157727255</v>
      </c>
      <c r="P50" s="31">
        <f t="shared" si="10"/>
        <v>-32487.460157727255</v>
      </c>
      <c r="Q50" s="31">
        <f t="shared" si="10"/>
        <v>-32487.460157727255</v>
      </c>
      <c r="R50" s="31">
        <f t="shared" si="10"/>
        <v>-32487.460157727255</v>
      </c>
      <c r="S50" s="31">
        <f t="shared" si="10"/>
        <v>-32487.460157727255</v>
      </c>
      <c r="T50" s="31">
        <f t="shared" si="10"/>
        <v>-32487.460157727255</v>
      </c>
      <c r="U50" s="31">
        <f t="shared" si="10"/>
        <v>-32487.460157727255</v>
      </c>
      <c r="V50" s="31">
        <f t="shared" si="10"/>
        <v>-32487.460157727255</v>
      </c>
      <c r="W50" s="31">
        <f t="shared" si="10"/>
        <v>-32487.460157727255</v>
      </c>
      <c r="X50" s="31">
        <f t="shared" si="10"/>
        <v>-32487.460157727255</v>
      </c>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ht="12.75">
      <c r="A51" s="13" t="s">
        <v>13</v>
      </c>
    </row>
    <row r="53" ht="12.75">
      <c r="A53" s="13" t="s">
        <v>14</v>
      </c>
    </row>
    <row r="54" spans="1:3" ht="12.75">
      <c r="A54" s="43" t="s">
        <v>44</v>
      </c>
      <c r="B54" s="47" t="s">
        <v>43</v>
      </c>
      <c r="C54" s="49">
        <f>C63/E15</f>
        <v>290.928</v>
      </c>
    </row>
    <row r="55" spans="1:24" ht="12.75">
      <c r="A55" s="43" t="s">
        <v>45</v>
      </c>
      <c r="B55" s="47" t="s">
        <v>46</v>
      </c>
      <c r="C55" s="49">
        <f>C54*E14/100</f>
        <v>105.897792</v>
      </c>
      <c r="E55">
        <f>C55*1000</f>
        <v>105897.792</v>
      </c>
      <c r="F55">
        <f aca="true" t="shared" si="11" ref="F55:X55">E55</f>
        <v>105897.792</v>
      </c>
      <c r="G55">
        <f t="shared" si="11"/>
        <v>105897.792</v>
      </c>
      <c r="H55">
        <f t="shared" si="11"/>
        <v>105897.792</v>
      </c>
      <c r="I55">
        <f t="shared" si="11"/>
        <v>105897.792</v>
      </c>
      <c r="J55">
        <f t="shared" si="11"/>
        <v>105897.792</v>
      </c>
      <c r="K55">
        <f t="shared" si="11"/>
        <v>105897.792</v>
      </c>
      <c r="L55">
        <f t="shared" si="11"/>
        <v>105897.792</v>
      </c>
      <c r="M55">
        <f t="shared" si="11"/>
        <v>105897.792</v>
      </c>
      <c r="N55">
        <f t="shared" si="11"/>
        <v>105897.792</v>
      </c>
      <c r="O55">
        <f t="shared" si="11"/>
        <v>105897.792</v>
      </c>
      <c r="P55">
        <f t="shared" si="11"/>
        <v>105897.792</v>
      </c>
      <c r="Q55">
        <f t="shared" si="11"/>
        <v>105897.792</v>
      </c>
      <c r="R55">
        <f t="shared" si="11"/>
        <v>105897.792</v>
      </c>
      <c r="S55">
        <f t="shared" si="11"/>
        <v>105897.792</v>
      </c>
      <c r="T55">
        <f t="shared" si="11"/>
        <v>105897.792</v>
      </c>
      <c r="U55">
        <f t="shared" si="11"/>
        <v>105897.792</v>
      </c>
      <c r="V55">
        <f t="shared" si="11"/>
        <v>105897.792</v>
      </c>
      <c r="W55">
        <f t="shared" si="11"/>
        <v>105897.792</v>
      </c>
      <c r="X55">
        <f t="shared" si="11"/>
        <v>105897.792</v>
      </c>
    </row>
    <row r="56" ht="12.75">
      <c r="B56" s="8"/>
    </row>
    <row r="57" spans="1:2" ht="12.75">
      <c r="A57" s="13" t="s">
        <v>18</v>
      </c>
      <c r="B57" s="8"/>
    </row>
    <row r="58" ht="12.75">
      <c r="B58" s="8"/>
    </row>
    <row r="59" ht="12.75">
      <c r="B59" s="8"/>
    </row>
    <row r="60" spans="1:2" ht="12.75">
      <c r="A60" s="13" t="s">
        <v>16</v>
      </c>
      <c r="B60" s="8"/>
    </row>
    <row r="61" spans="1:2" ht="12.75">
      <c r="A61" s="6"/>
      <c r="B61" s="8"/>
    </row>
    <row r="62" spans="1:2" ht="12.75">
      <c r="A62" s="54" t="s">
        <v>40</v>
      </c>
      <c r="B62" s="8"/>
    </row>
    <row r="63" spans="1:3" ht="12.75">
      <c r="A63" s="43" t="s">
        <v>42</v>
      </c>
      <c r="B63" s="47" t="s">
        <v>43</v>
      </c>
      <c r="C63" s="49">
        <f>(44*3*E16*24+44*1.5*E17*24)/1000</f>
        <v>872.784</v>
      </c>
    </row>
    <row r="64" spans="1:3" ht="12.75">
      <c r="A64" s="43" t="s">
        <v>47</v>
      </c>
      <c r="B64" s="47" t="s">
        <v>48</v>
      </c>
      <c r="C64" s="49">
        <f>C63/(E18/100)*859845/E19/1000</f>
        <v>77.5267519090909</v>
      </c>
    </row>
    <row r="65" spans="1:24" ht="12.75">
      <c r="A65" s="43" t="s">
        <v>52</v>
      </c>
      <c r="B65" s="46" t="s">
        <v>46</v>
      </c>
      <c r="C65" s="49">
        <f>C64*E20/1000</f>
        <v>138.38525215772725</v>
      </c>
      <c r="E65">
        <f>C65*1000</f>
        <v>138385.25215772726</v>
      </c>
      <c r="F65">
        <f aca="true" t="shared" si="12" ref="F65:X65">E65</f>
        <v>138385.25215772726</v>
      </c>
      <c r="G65">
        <f t="shared" si="12"/>
        <v>138385.25215772726</v>
      </c>
      <c r="H65">
        <f t="shared" si="12"/>
        <v>138385.25215772726</v>
      </c>
      <c r="I65">
        <f t="shared" si="12"/>
        <v>138385.25215772726</v>
      </c>
      <c r="J65">
        <f t="shared" si="12"/>
        <v>138385.25215772726</v>
      </c>
      <c r="K65">
        <f t="shared" si="12"/>
        <v>138385.25215772726</v>
      </c>
      <c r="L65">
        <f t="shared" si="12"/>
        <v>138385.25215772726</v>
      </c>
      <c r="M65">
        <f t="shared" si="12"/>
        <v>138385.25215772726</v>
      </c>
      <c r="N65">
        <f t="shared" si="12"/>
        <v>138385.25215772726</v>
      </c>
      <c r="O65">
        <f t="shared" si="12"/>
        <v>138385.25215772726</v>
      </c>
      <c r="P65">
        <f t="shared" si="12"/>
        <v>138385.25215772726</v>
      </c>
      <c r="Q65">
        <f t="shared" si="12"/>
        <v>138385.25215772726</v>
      </c>
      <c r="R65">
        <f t="shared" si="12"/>
        <v>138385.25215772726</v>
      </c>
      <c r="S65">
        <f t="shared" si="12"/>
        <v>138385.25215772726</v>
      </c>
      <c r="T65">
        <f t="shared" si="12"/>
        <v>138385.25215772726</v>
      </c>
      <c r="U65">
        <f t="shared" si="12"/>
        <v>138385.25215772726</v>
      </c>
      <c r="V65">
        <f t="shared" si="12"/>
        <v>138385.25215772726</v>
      </c>
      <c r="W65">
        <f t="shared" si="12"/>
        <v>138385.25215772726</v>
      </c>
      <c r="X65">
        <f t="shared" si="12"/>
        <v>138385.25215772726</v>
      </c>
    </row>
    <row r="66" ht="13.5" thickBot="1"/>
    <row r="67" spans="1:3" ht="15.75" thickBot="1">
      <c r="A67" s="20" t="s">
        <v>41</v>
      </c>
      <c r="B67" s="18" t="s">
        <v>7</v>
      </c>
      <c r="C67" s="16">
        <f>C63*1000</f>
        <v>872784</v>
      </c>
    </row>
    <row r="68" spans="1:3" ht="12.75">
      <c r="A68" s="7"/>
      <c r="B68" s="8"/>
      <c r="C68" s="3"/>
    </row>
    <row r="69" spans="1:3" ht="12.75">
      <c r="A69" s="7"/>
      <c r="B69" s="8"/>
      <c r="C69" s="3"/>
    </row>
    <row r="70" spans="1:3" ht="12.75">
      <c r="A70" s="7"/>
      <c r="B70" s="8"/>
      <c r="C70" s="3"/>
    </row>
    <row r="71" spans="1:3" ht="12.75">
      <c r="A71" s="7"/>
      <c r="B71" s="8"/>
      <c r="C71" s="3"/>
    </row>
    <row r="72" ht="13.5" thickBot="1"/>
    <row r="73" spans="1:3" ht="33" thickBot="1" thickTop="1">
      <c r="A73" s="53" t="s">
        <v>58</v>
      </c>
      <c r="B73" s="38" t="s">
        <v>8</v>
      </c>
      <c r="C73" s="64">
        <f>IF(C67&gt;0,C28*100/C67*C26/100/(1-POWER(1+C26/100,-C25)),"")</f>
        <v>-1.141431547725639</v>
      </c>
    </row>
    <row r="74" ht="13.5" thickTop="1"/>
  </sheetData>
  <sheetProtection/>
  <mergeCells count="17">
    <mergeCell ref="A1:D1"/>
    <mergeCell ref="A2:D2"/>
    <mergeCell ref="A6:I6"/>
    <mergeCell ref="A7:C7"/>
    <mergeCell ref="A9:C9"/>
    <mergeCell ref="A11:C11"/>
    <mergeCell ref="A12:C12"/>
    <mergeCell ref="A13:C13"/>
    <mergeCell ref="A10:C10"/>
    <mergeCell ref="A8:C8"/>
    <mergeCell ref="A20:C20"/>
    <mergeCell ref="A18:C18"/>
    <mergeCell ref="A19:C19"/>
    <mergeCell ref="A14:C14"/>
    <mergeCell ref="A15:C15"/>
    <mergeCell ref="A16:C16"/>
    <mergeCell ref="A17:C17"/>
  </mergeCells>
  <printOptions gridLines="1"/>
  <pageMargins left="0.89" right="0.42" top="1" bottom="0.85" header="0.5" footer="0.5"/>
  <pageSetup fitToHeight="1" fitToWidth="1" horizontalDpi="200" verticalDpi="2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73"/>
  <sheetViews>
    <sheetView zoomScalePageLayoutView="0" workbookViewId="0" topLeftCell="A49">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5" t="s">
        <v>26</v>
      </c>
      <c r="B1" s="76"/>
      <c r="C1" s="77"/>
      <c r="D1" s="77"/>
      <c r="E1" s="2"/>
    </row>
    <row r="2" spans="1:5" ht="24" customHeight="1">
      <c r="A2" s="78" t="s">
        <v>57</v>
      </c>
      <c r="B2" s="77"/>
      <c r="C2" s="77"/>
      <c r="D2" s="77"/>
      <c r="E2" s="2"/>
    </row>
    <row r="3" spans="1:5" ht="24" customHeight="1">
      <c r="A3" s="56" t="s">
        <v>66</v>
      </c>
      <c r="B3" s="55"/>
      <c r="C3" s="55"/>
      <c r="D3" s="55"/>
      <c r="E3" s="2"/>
    </row>
    <row r="4" spans="1:5" ht="12" customHeight="1">
      <c r="A4" s="5"/>
      <c r="B4" s="2"/>
      <c r="C4" s="2"/>
      <c r="D4" s="2"/>
      <c r="E4" s="2"/>
    </row>
    <row r="5" spans="1:5" ht="12" customHeight="1" thickBot="1">
      <c r="A5" s="25" t="s">
        <v>4</v>
      </c>
      <c r="B5" s="2"/>
      <c r="C5" s="2"/>
      <c r="D5" s="2"/>
      <c r="E5" s="2"/>
    </row>
    <row r="6" spans="1:9" ht="132.75" customHeight="1" thickBot="1">
      <c r="A6" s="79" t="s">
        <v>59</v>
      </c>
      <c r="B6" s="80"/>
      <c r="C6" s="80"/>
      <c r="D6" s="80"/>
      <c r="E6" s="80"/>
      <c r="F6" s="80"/>
      <c r="G6" s="80"/>
      <c r="H6" s="80"/>
      <c r="I6" s="81"/>
    </row>
    <row r="7" spans="1:9" ht="15" customHeight="1" thickBot="1">
      <c r="A7" s="82" t="s">
        <v>25</v>
      </c>
      <c r="B7" s="83"/>
      <c r="C7" s="84"/>
      <c r="D7" s="36" t="s">
        <v>1</v>
      </c>
      <c r="E7" s="33"/>
      <c r="F7" s="33"/>
      <c r="G7" s="33"/>
      <c r="H7" s="33"/>
      <c r="I7" s="33"/>
    </row>
    <row r="8" spans="1:9" ht="15" customHeight="1" thickTop="1">
      <c r="A8" s="72" t="s">
        <v>28</v>
      </c>
      <c r="B8" s="73"/>
      <c r="C8" s="74"/>
      <c r="D8" s="34" t="s">
        <v>27</v>
      </c>
      <c r="E8" s="42">
        <v>143.6</v>
      </c>
      <c r="F8" s="33"/>
      <c r="G8" s="33"/>
      <c r="H8" s="33"/>
      <c r="I8" s="33"/>
    </row>
    <row r="9" spans="1:9" ht="15" customHeight="1">
      <c r="A9" s="68" t="s">
        <v>29</v>
      </c>
      <c r="B9" s="69"/>
      <c r="C9" s="70"/>
      <c r="D9" s="34" t="s">
        <v>27</v>
      </c>
      <c r="E9" s="42">
        <v>25</v>
      </c>
      <c r="F9" s="33"/>
      <c r="G9" s="33"/>
      <c r="H9" s="33"/>
      <c r="I9" s="33"/>
    </row>
    <row r="10" spans="1:9" ht="15" customHeight="1">
      <c r="A10" s="68" t="s">
        <v>55</v>
      </c>
      <c r="B10" s="71"/>
      <c r="C10" s="70"/>
      <c r="D10" s="34" t="s">
        <v>56</v>
      </c>
      <c r="E10" s="51">
        <v>20</v>
      </c>
      <c r="F10" s="33"/>
      <c r="G10" s="33"/>
      <c r="H10" s="33"/>
      <c r="I10" s="33"/>
    </row>
    <row r="11" spans="1:9" ht="15" customHeight="1">
      <c r="A11" s="68" t="s">
        <v>30</v>
      </c>
      <c r="B11" s="69"/>
      <c r="C11" s="70"/>
      <c r="D11" s="34" t="s">
        <v>27</v>
      </c>
      <c r="E11" s="42">
        <v>216</v>
      </c>
      <c r="F11" s="33"/>
      <c r="G11" s="33"/>
      <c r="H11" s="33"/>
      <c r="I11" s="33"/>
    </row>
    <row r="12" spans="1:9" ht="15" customHeight="1">
      <c r="A12" s="68" t="s">
        <v>31</v>
      </c>
      <c r="B12" s="69"/>
      <c r="C12" s="70"/>
      <c r="D12" s="34" t="s">
        <v>27</v>
      </c>
      <c r="E12" s="42">
        <v>80</v>
      </c>
      <c r="F12" s="33"/>
      <c r="G12" s="33"/>
      <c r="H12" s="33"/>
      <c r="I12" s="33"/>
    </row>
    <row r="13" spans="1:9" ht="15" customHeight="1">
      <c r="A13" s="68" t="s">
        <v>32</v>
      </c>
      <c r="B13" s="69"/>
      <c r="C13" s="70"/>
      <c r="D13" s="34" t="s">
        <v>27</v>
      </c>
      <c r="E13" s="42">
        <v>30</v>
      </c>
      <c r="F13" s="33"/>
      <c r="G13" s="33"/>
      <c r="H13" s="33"/>
      <c r="I13" s="33"/>
    </row>
    <row r="14" spans="1:9" ht="15" customHeight="1">
      <c r="A14" s="68" t="s">
        <v>33</v>
      </c>
      <c r="B14" s="69"/>
      <c r="C14" s="70"/>
      <c r="D14" s="34" t="s">
        <v>8</v>
      </c>
      <c r="E14" s="42">
        <v>36.4</v>
      </c>
      <c r="F14" s="33"/>
      <c r="G14" s="33"/>
      <c r="H14" s="33"/>
      <c r="I14" s="33"/>
    </row>
    <row r="15" spans="1:9" ht="15" customHeight="1">
      <c r="A15" s="68" t="s">
        <v>34</v>
      </c>
      <c r="B15" s="69"/>
      <c r="C15" s="70"/>
      <c r="D15" s="33"/>
      <c r="E15" s="42">
        <v>3</v>
      </c>
      <c r="F15" s="33"/>
      <c r="G15" s="33"/>
      <c r="H15" s="33"/>
      <c r="I15" s="33"/>
    </row>
    <row r="16" spans="1:9" ht="15" customHeight="1">
      <c r="A16" s="68" t="s">
        <v>37</v>
      </c>
      <c r="B16" s="69"/>
      <c r="C16" s="70"/>
      <c r="D16" s="34" t="s">
        <v>39</v>
      </c>
      <c r="E16" s="42">
        <v>186</v>
      </c>
      <c r="F16" s="33"/>
      <c r="G16" s="33"/>
      <c r="H16" s="33"/>
      <c r="I16" s="33"/>
    </row>
    <row r="17" spans="1:9" ht="15" customHeight="1">
      <c r="A17" s="68" t="s">
        <v>38</v>
      </c>
      <c r="B17" s="69"/>
      <c r="C17" s="70"/>
      <c r="D17" s="34" t="s">
        <v>39</v>
      </c>
      <c r="E17" s="42">
        <v>179</v>
      </c>
      <c r="F17" s="33"/>
      <c r="G17" s="33"/>
      <c r="H17" s="33"/>
      <c r="I17" s="33"/>
    </row>
    <row r="18" spans="1:9" ht="15" customHeight="1">
      <c r="A18" s="68" t="s">
        <v>49</v>
      </c>
      <c r="B18" s="69"/>
      <c r="C18" s="70"/>
      <c r="D18" s="34" t="s">
        <v>3</v>
      </c>
      <c r="E18" s="42">
        <v>88</v>
      </c>
      <c r="F18" s="42"/>
      <c r="G18" s="33"/>
      <c r="H18" s="33"/>
      <c r="I18" s="33"/>
    </row>
    <row r="19" spans="1:9" ht="15" customHeight="1">
      <c r="A19" s="68" t="s">
        <v>50</v>
      </c>
      <c r="B19" s="69"/>
      <c r="C19" s="70"/>
      <c r="D19" s="34" t="s">
        <v>51</v>
      </c>
      <c r="E19" s="42">
        <v>11000</v>
      </c>
      <c r="F19" s="42"/>
      <c r="G19" s="33"/>
      <c r="H19" s="33"/>
      <c r="I19" s="33"/>
    </row>
    <row r="20" spans="1:9" ht="15" customHeight="1" thickBot="1">
      <c r="A20" s="65" t="s">
        <v>53</v>
      </c>
      <c r="B20" s="66"/>
      <c r="C20" s="67"/>
      <c r="D20" s="34" t="s">
        <v>54</v>
      </c>
      <c r="E20" s="42">
        <v>1785</v>
      </c>
      <c r="F20" s="33"/>
      <c r="G20" s="33"/>
      <c r="H20" s="33"/>
      <c r="I20" s="33"/>
    </row>
    <row r="21" spans="1:9" ht="15" customHeight="1">
      <c r="A21" s="32"/>
      <c r="B21" s="37"/>
      <c r="C21" s="37"/>
      <c r="D21" s="33"/>
      <c r="E21" s="33"/>
      <c r="F21" s="33"/>
      <c r="G21" s="33"/>
      <c r="H21" s="33"/>
      <c r="I21" s="33"/>
    </row>
    <row r="22" spans="1:9" ht="15" customHeight="1">
      <c r="A22" s="32"/>
      <c r="B22" s="33"/>
      <c r="C22" s="33"/>
      <c r="D22" s="33"/>
      <c r="E22" s="33"/>
      <c r="F22" s="33"/>
      <c r="G22" s="33"/>
      <c r="H22" s="33"/>
      <c r="I22" s="33"/>
    </row>
    <row r="23" spans="1:5" ht="15" customHeight="1" thickBot="1">
      <c r="A23" s="1"/>
      <c r="B23" s="2"/>
      <c r="C23" s="2"/>
      <c r="D23" s="2"/>
      <c r="E23" s="2"/>
    </row>
    <row r="24" spans="1:3" ht="14.25" thickBot="1" thickTop="1">
      <c r="A24" s="35" t="s">
        <v>0</v>
      </c>
      <c r="B24" s="4" t="s">
        <v>1</v>
      </c>
      <c r="C24" s="3"/>
    </row>
    <row r="25" spans="1:3" ht="25.5" customHeight="1" thickTop="1">
      <c r="A25" s="19" t="s">
        <v>21</v>
      </c>
      <c r="B25" s="39" t="s">
        <v>6</v>
      </c>
      <c r="C25" s="40">
        <f>E10</f>
        <v>20</v>
      </c>
    </row>
    <row r="26" spans="1:54" ht="15" thickBot="1">
      <c r="A26" s="17" t="s">
        <v>2</v>
      </c>
      <c r="B26" s="39" t="s">
        <v>3</v>
      </c>
      <c r="C26" s="41">
        <v>8</v>
      </c>
      <c r="D26" s="15">
        <v>1</v>
      </c>
      <c r="E26" s="15">
        <f>1/(1+C26/100)</f>
        <v>0.9259259259259258</v>
      </c>
      <c r="F26" s="15">
        <f aca="true" t="shared" si="0" ref="F26:AK26">E26/(1+$C26/100)</f>
        <v>0.8573388203017831</v>
      </c>
      <c r="G26" s="15">
        <f t="shared" si="0"/>
        <v>0.7938322410201695</v>
      </c>
      <c r="H26" s="15">
        <f t="shared" si="0"/>
        <v>0.7350298527964532</v>
      </c>
      <c r="I26" s="15">
        <f t="shared" si="0"/>
        <v>0.6805831970337529</v>
      </c>
      <c r="J26" s="15">
        <f t="shared" si="0"/>
        <v>0.6301696268831045</v>
      </c>
      <c r="K26" s="15">
        <f t="shared" si="0"/>
        <v>0.5834903952621338</v>
      </c>
      <c r="L26" s="15">
        <f t="shared" si="0"/>
        <v>0.5402688845019756</v>
      </c>
      <c r="M26" s="15">
        <f t="shared" si="0"/>
        <v>0.5002489671314588</v>
      </c>
      <c r="N26" s="15">
        <f t="shared" si="0"/>
        <v>0.4631934880846841</v>
      </c>
      <c r="O26" s="15">
        <f t="shared" si="0"/>
        <v>0.4288828593376704</v>
      </c>
      <c r="P26" s="15">
        <f t="shared" si="0"/>
        <v>0.3971137586459911</v>
      </c>
      <c r="Q26" s="15">
        <f t="shared" si="0"/>
        <v>0.36769792467221396</v>
      </c>
      <c r="R26" s="15">
        <f t="shared" si="0"/>
        <v>0.3404610413631611</v>
      </c>
      <c r="S26" s="15">
        <f t="shared" si="0"/>
        <v>0.3152417049658899</v>
      </c>
      <c r="T26" s="15">
        <f t="shared" si="0"/>
        <v>0.2918904675610091</v>
      </c>
      <c r="U26" s="15">
        <f t="shared" si="0"/>
        <v>0.27026895144537877</v>
      </c>
      <c r="V26" s="15">
        <f t="shared" si="0"/>
        <v>0.2502490291160914</v>
      </c>
      <c r="W26" s="15">
        <f t="shared" si="0"/>
        <v>0.23171206399638095</v>
      </c>
      <c r="X26" s="15">
        <f t="shared" si="0"/>
        <v>0.21454820740405642</v>
      </c>
      <c r="Y26" s="15">
        <f t="shared" si="0"/>
        <v>0.19865574759634852</v>
      </c>
      <c r="Z26" s="15">
        <f t="shared" si="0"/>
        <v>0.18394050703365603</v>
      </c>
      <c r="AA26" s="15">
        <f t="shared" si="0"/>
        <v>0.17031528429042223</v>
      </c>
      <c r="AB26" s="15">
        <f t="shared" si="0"/>
        <v>0.15769933730594649</v>
      </c>
      <c r="AC26" s="15">
        <f t="shared" si="0"/>
        <v>0.14601790491291342</v>
      </c>
      <c r="AD26" s="15">
        <f t="shared" si="0"/>
        <v>0.13520176380825316</v>
      </c>
      <c r="AE26" s="15">
        <f t="shared" si="0"/>
        <v>0.12518681834097514</v>
      </c>
      <c r="AF26" s="15">
        <f t="shared" si="0"/>
        <v>0.11591372068608809</v>
      </c>
      <c r="AG26" s="15">
        <f t="shared" si="0"/>
        <v>0.10732751915378526</v>
      </c>
      <c r="AH26" s="15">
        <f t="shared" si="0"/>
        <v>0.09937733254980116</v>
      </c>
      <c r="AI26" s="15">
        <f t="shared" si="0"/>
        <v>0.09201604865722329</v>
      </c>
      <c r="AJ26" s="15">
        <f t="shared" si="0"/>
        <v>0.08520004505298452</v>
      </c>
      <c r="AK26" s="15">
        <f t="shared" si="0"/>
        <v>0.0788889306046153</v>
      </c>
      <c r="AL26" s="15">
        <f aca="true" t="shared" si="1" ref="AL26:BB26">AK26/(1+$C26/100)</f>
        <v>0.07304530611538453</v>
      </c>
      <c r="AM26" s="15">
        <f t="shared" si="1"/>
        <v>0.06763454269943012</v>
      </c>
      <c r="AN26" s="15">
        <f t="shared" si="1"/>
        <v>0.0626245765735464</v>
      </c>
      <c r="AO26" s="15">
        <f t="shared" si="1"/>
        <v>0.057985719049580005</v>
      </c>
      <c r="AP26" s="15">
        <f t="shared" si="1"/>
        <v>0.05369048060146296</v>
      </c>
      <c r="AQ26" s="15">
        <f t="shared" si="1"/>
        <v>0.04971340796431755</v>
      </c>
      <c r="AR26" s="15">
        <f t="shared" si="1"/>
        <v>0.04603093330029402</v>
      </c>
      <c r="AS26" s="15">
        <f t="shared" si="1"/>
        <v>0.042621234537309274</v>
      </c>
      <c r="AT26" s="15">
        <f t="shared" si="1"/>
        <v>0.03946410605306414</v>
      </c>
      <c r="AU26" s="15">
        <f t="shared" si="1"/>
        <v>0.03654083893802235</v>
      </c>
      <c r="AV26" s="15">
        <f t="shared" si="1"/>
        <v>0.033834110127798474</v>
      </c>
      <c r="AW26" s="15">
        <f t="shared" si="1"/>
        <v>0.03132787974796155</v>
      </c>
      <c r="AX26" s="15">
        <f t="shared" si="1"/>
        <v>0.02900729606292736</v>
      </c>
      <c r="AY26" s="15">
        <f t="shared" si="1"/>
        <v>0.02685860746567348</v>
      </c>
      <c r="AZ26" s="15">
        <f t="shared" si="1"/>
        <v>0.0248690809867347</v>
      </c>
      <c r="BA26" s="15">
        <f t="shared" si="1"/>
        <v>0.023026926839569164</v>
      </c>
      <c r="BB26" s="15">
        <f t="shared" si="1"/>
        <v>0.02132122855515663</v>
      </c>
    </row>
    <row r="27" ht="15" thickBot="1">
      <c r="D27" s="29" t="s">
        <v>5</v>
      </c>
    </row>
    <row r="28" spans="1:54" ht="15.75" thickBot="1">
      <c r="A28" s="20" t="s">
        <v>20</v>
      </c>
      <c r="B28" s="18" t="s">
        <v>17</v>
      </c>
      <c r="C28" s="16">
        <f>C29+C49</f>
        <v>-230504.26823046687</v>
      </c>
      <c r="D28" s="29">
        <v>0</v>
      </c>
      <c r="E28" s="29">
        <f aca="true" t="shared" si="2" ref="E28:AJ28">IF(D28&lt;$C25,D28+1,"")</f>
        <v>1</v>
      </c>
      <c r="F28" s="29">
        <f t="shared" si="2"/>
        <v>2</v>
      </c>
      <c r="G28" s="29">
        <f t="shared" si="2"/>
        <v>3</v>
      </c>
      <c r="H28" s="29">
        <f t="shared" si="2"/>
        <v>4</v>
      </c>
      <c r="I28" s="29">
        <f t="shared" si="2"/>
        <v>5</v>
      </c>
      <c r="J28" s="29">
        <f t="shared" si="2"/>
        <v>6</v>
      </c>
      <c r="K28" s="29">
        <f t="shared" si="2"/>
        <v>7</v>
      </c>
      <c r="L28" s="29">
        <f t="shared" si="2"/>
        <v>8</v>
      </c>
      <c r="M28" s="29">
        <f t="shared" si="2"/>
        <v>9</v>
      </c>
      <c r="N28" s="29">
        <f t="shared" si="2"/>
        <v>10</v>
      </c>
      <c r="O28" s="29">
        <f t="shared" si="2"/>
        <v>11</v>
      </c>
      <c r="P28" s="29">
        <f t="shared" si="2"/>
        <v>12</v>
      </c>
      <c r="Q28" s="29">
        <f t="shared" si="2"/>
        <v>13</v>
      </c>
      <c r="R28" s="29">
        <f t="shared" si="2"/>
        <v>14</v>
      </c>
      <c r="S28" s="29">
        <f t="shared" si="2"/>
        <v>15</v>
      </c>
      <c r="T28" s="29">
        <f t="shared" si="2"/>
        <v>16</v>
      </c>
      <c r="U28" s="29">
        <f t="shared" si="2"/>
        <v>17</v>
      </c>
      <c r="V28" s="29">
        <f t="shared" si="2"/>
        <v>18</v>
      </c>
      <c r="W28" s="29">
        <f t="shared" si="2"/>
        <v>19</v>
      </c>
      <c r="X28" s="29">
        <f t="shared" si="2"/>
        <v>20</v>
      </c>
      <c r="Y28" s="29">
        <f t="shared" si="2"/>
      </c>
      <c r="Z28" s="29">
        <f t="shared" si="2"/>
      </c>
      <c r="AA28" s="29">
        <f t="shared" si="2"/>
      </c>
      <c r="AB28" s="29">
        <f t="shared" si="2"/>
      </c>
      <c r="AC28" s="29">
        <f t="shared" si="2"/>
      </c>
      <c r="AD28" s="29">
        <f t="shared" si="2"/>
      </c>
      <c r="AE28" s="29">
        <f t="shared" si="2"/>
      </c>
      <c r="AF28" s="29">
        <f t="shared" si="2"/>
      </c>
      <c r="AG28" s="29">
        <f t="shared" si="2"/>
      </c>
      <c r="AH28" s="29">
        <f t="shared" si="2"/>
      </c>
      <c r="AI28" s="29">
        <f t="shared" si="2"/>
      </c>
      <c r="AJ28" s="29">
        <f t="shared" si="2"/>
      </c>
      <c r="AK28" s="29">
        <f aca="true" t="shared" si="3" ref="AK28:BB28">IF(AJ28&lt;$C25,AJ28+1,"")</f>
      </c>
      <c r="AL28" s="29">
        <f t="shared" si="3"/>
      </c>
      <c r="AM28" s="29">
        <f t="shared" si="3"/>
      </c>
      <c r="AN28" s="29">
        <f t="shared" si="3"/>
      </c>
      <c r="AO28" s="29">
        <f t="shared" si="3"/>
      </c>
      <c r="AP28" s="29">
        <f t="shared" si="3"/>
      </c>
      <c r="AQ28" s="29">
        <f t="shared" si="3"/>
      </c>
      <c r="AR28" s="29">
        <f t="shared" si="3"/>
      </c>
      <c r="AS28" s="29">
        <f t="shared" si="3"/>
      </c>
      <c r="AT28" s="29">
        <f t="shared" si="3"/>
      </c>
      <c r="AU28" s="29">
        <f t="shared" si="3"/>
      </c>
      <c r="AV28" s="29">
        <f t="shared" si="3"/>
      </c>
      <c r="AW28" s="29">
        <f t="shared" si="3"/>
      </c>
      <c r="AX28" s="29">
        <f t="shared" si="3"/>
      </c>
      <c r="AY28" s="29">
        <f t="shared" si="3"/>
      </c>
      <c r="AZ28" s="29">
        <f t="shared" si="3"/>
      </c>
      <c r="BA28" s="29">
        <f t="shared" si="3"/>
      </c>
      <c r="BB28" s="29">
        <f t="shared" si="3"/>
      </c>
    </row>
    <row r="29" spans="1:54" ht="19.5" thickBot="1">
      <c r="A29" s="26" t="s">
        <v>9</v>
      </c>
      <c r="B29" s="21" t="s">
        <v>17</v>
      </c>
      <c r="C29" s="16">
        <f>SUM(D29:BB29)</f>
        <v>88462.40449173487</v>
      </c>
      <c r="D29" s="27">
        <f aca="true" t="shared" si="4" ref="D29:AI29">D30*D26</f>
        <v>88462.40449173487</v>
      </c>
      <c r="E29" s="27">
        <f t="shared" si="4"/>
        <v>0</v>
      </c>
      <c r="F29" s="27">
        <f t="shared" si="4"/>
        <v>0</v>
      </c>
      <c r="G29" s="27">
        <f t="shared" si="4"/>
        <v>0</v>
      </c>
      <c r="H29" s="27">
        <f t="shared" si="4"/>
        <v>0</v>
      </c>
      <c r="I29" s="27">
        <f t="shared" si="4"/>
        <v>0</v>
      </c>
      <c r="J29" s="27">
        <f t="shared" si="4"/>
        <v>0</v>
      </c>
      <c r="K29" s="27">
        <f t="shared" si="4"/>
        <v>0</v>
      </c>
      <c r="L29" s="27">
        <f t="shared" si="4"/>
        <v>0</v>
      </c>
      <c r="M29" s="27">
        <f t="shared" si="4"/>
        <v>0</v>
      </c>
      <c r="N29" s="27">
        <f t="shared" si="4"/>
        <v>0</v>
      </c>
      <c r="O29" s="27">
        <f t="shared" si="4"/>
        <v>0</v>
      </c>
      <c r="P29" s="27">
        <f t="shared" si="4"/>
        <v>0</v>
      </c>
      <c r="Q29" s="27">
        <f t="shared" si="4"/>
        <v>0</v>
      </c>
      <c r="R29" s="27">
        <f t="shared" si="4"/>
        <v>0</v>
      </c>
      <c r="S29" s="27">
        <f t="shared" si="4"/>
        <v>0</v>
      </c>
      <c r="T29" s="27">
        <f t="shared" si="4"/>
        <v>0</v>
      </c>
      <c r="U29" s="27">
        <f t="shared" si="4"/>
        <v>0</v>
      </c>
      <c r="V29" s="27">
        <f t="shared" si="4"/>
        <v>0</v>
      </c>
      <c r="W29" s="27">
        <f t="shared" si="4"/>
        <v>0</v>
      </c>
      <c r="X29" s="27">
        <f t="shared" si="4"/>
        <v>0</v>
      </c>
      <c r="Y29" s="27">
        <f t="shared" si="4"/>
        <v>0</v>
      </c>
      <c r="Z29" s="27">
        <f t="shared" si="4"/>
        <v>0</v>
      </c>
      <c r="AA29" s="27">
        <f t="shared" si="4"/>
        <v>0</v>
      </c>
      <c r="AB29" s="27">
        <f t="shared" si="4"/>
        <v>0</v>
      </c>
      <c r="AC29" s="27">
        <f t="shared" si="4"/>
        <v>0</v>
      </c>
      <c r="AD29" s="27">
        <f t="shared" si="4"/>
        <v>0</v>
      </c>
      <c r="AE29" s="27">
        <f t="shared" si="4"/>
        <v>0</v>
      </c>
      <c r="AF29" s="27">
        <f t="shared" si="4"/>
        <v>0</v>
      </c>
      <c r="AG29" s="27">
        <f t="shared" si="4"/>
        <v>0</v>
      </c>
      <c r="AH29" s="27">
        <f t="shared" si="4"/>
        <v>0</v>
      </c>
      <c r="AI29" s="27">
        <f t="shared" si="4"/>
        <v>0</v>
      </c>
      <c r="AJ29" s="27">
        <f aca="true" t="shared" si="5" ref="AJ29:BB29">AJ30*AJ26</f>
        <v>0</v>
      </c>
      <c r="AK29" s="27">
        <f t="shared" si="5"/>
        <v>0</v>
      </c>
      <c r="AL29" s="27">
        <f t="shared" si="5"/>
        <v>0</v>
      </c>
      <c r="AM29" s="27">
        <f t="shared" si="5"/>
        <v>0</v>
      </c>
      <c r="AN29" s="27">
        <f t="shared" si="5"/>
        <v>0</v>
      </c>
      <c r="AO29" s="27">
        <f t="shared" si="5"/>
        <v>0</v>
      </c>
      <c r="AP29" s="27">
        <f t="shared" si="5"/>
        <v>0</v>
      </c>
      <c r="AQ29" s="27">
        <f t="shared" si="5"/>
        <v>0</v>
      </c>
      <c r="AR29" s="27">
        <f t="shared" si="5"/>
        <v>0</v>
      </c>
      <c r="AS29" s="27">
        <f t="shared" si="5"/>
        <v>0</v>
      </c>
      <c r="AT29" s="27">
        <f t="shared" si="5"/>
        <v>0</v>
      </c>
      <c r="AU29" s="27">
        <f t="shared" si="5"/>
        <v>0</v>
      </c>
      <c r="AV29" s="27">
        <f t="shared" si="5"/>
        <v>0</v>
      </c>
      <c r="AW29" s="27">
        <f t="shared" si="5"/>
        <v>0</v>
      </c>
      <c r="AX29" s="27">
        <f t="shared" si="5"/>
        <v>0</v>
      </c>
      <c r="AY29" s="27">
        <f t="shared" si="5"/>
        <v>0</v>
      </c>
      <c r="AZ29" s="27">
        <f t="shared" si="5"/>
        <v>0</v>
      </c>
      <c r="BA29" s="27">
        <f t="shared" si="5"/>
        <v>0</v>
      </c>
      <c r="BB29" s="27">
        <f t="shared" si="5"/>
        <v>0</v>
      </c>
    </row>
    <row r="30" spans="1:54" ht="14.25" customHeight="1">
      <c r="A30" s="30" t="s">
        <v>23</v>
      </c>
      <c r="B30" s="28" t="s">
        <v>17</v>
      </c>
      <c r="C30" s="12">
        <f>(C32+C33+C34+C38+C40)*1000</f>
        <v>494600</v>
      </c>
      <c r="D30" s="50">
        <f>D32+D33+D34+D39+D41</f>
        <v>88462.40449173487</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3" ht="12.75">
      <c r="A31" s="13" t="s">
        <v>10</v>
      </c>
      <c r="C31" s="9"/>
    </row>
    <row r="32" spans="1:4" ht="12.75">
      <c r="A32" s="43" t="s">
        <v>35</v>
      </c>
      <c r="B32" s="44" t="s">
        <v>27</v>
      </c>
      <c r="C32" s="45">
        <f>E8</f>
        <v>143.6</v>
      </c>
      <c r="D32" s="57">
        <f>C32*1000*0.2</f>
        <v>28720</v>
      </c>
    </row>
    <row r="33" spans="1:4" ht="12.75">
      <c r="A33" s="43" t="s">
        <v>29</v>
      </c>
      <c r="B33" s="44" t="s">
        <v>27</v>
      </c>
      <c r="C33" s="45">
        <f>E9</f>
        <v>25</v>
      </c>
      <c r="D33" s="57">
        <f>C33*1000*0.2</f>
        <v>5000</v>
      </c>
    </row>
    <row r="34" spans="1:4" ht="12.75">
      <c r="A34" s="46" t="s">
        <v>36</v>
      </c>
      <c r="B34" s="44" t="s">
        <v>27</v>
      </c>
      <c r="C34" s="45">
        <f>E13</f>
        <v>30</v>
      </c>
      <c r="D34" s="57">
        <f>C34*1000*0.2</f>
        <v>6000</v>
      </c>
    </row>
    <row r="35" ht="12.75">
      <c r="C35" s="9"/>
    </row>
    <row r="36" ht="12.75">
      <c r="A36" s="13" t="s">
        <v>11</v>
      </c>
    </row>
    <row r="37" spans="1:3" ht="12.75">
      <c r="A37" s="46" t="s">
        <v>61</v>
      </c>
      <c r="B37" s="47" t="s">
        <v>56</v>
      </c>
      <c r="C37" s="46">
        <v>40</v>
      </c>
    </row>
    <row r="38" spans="1:3" ht="12.75">
      <c r="A38" s="46" t="s">
        <v>31</v>
      </c>
      <c r="B38" s="47" t="s">
        <v>27</v>
      </c>
      <c r="C38" s="46">
        <f>E12</f>
        <v>80</v>
      </c>
    </row>
    <row r="39" spans="1:4" ht="12.75">
      <c r="A39" s="46" t="s">
        <v>60</v>
      </c>
      <c r="B39" s="47" t="s">
        <v>27</v>
      </c>
      <c r="C39" s="52">
        <f>C38*C43</f>
        <v>65.86811417802008</v>
      </c>
      <c r="D39" s="58">
        <f>C39*1000*0.2</f>
        <v>13173.622835604017</v>
      </c>
    </row>
    <row r="40" spans="1:4" ht="12.75">
      <c r="A40" s="43" t="s">
        <v>30</v>
      </c>
      <c r="B40" s="44" t="s">
        <v>27</v>
      </c>
      <c r="C40" s="52">
        <f>E11</f>
        <v>216</v>
      </c>
      <c r="D40" s="48"/>
    </row>
    <row r="41" spans="1:4" ht="12.75">
      <c r="A41" s="46" t="s">
        <v>62</v>
      </c>
      <c r="B41" s="44" t="s">
        <v>27</v>
      </c>
      <c r="C41" s="52">
        <f>C40*C43</f>
        <v>177.8439082806542</v>
      </c>
      <c r="D41" s="58">
        <f>C41*1000*0.2</f>
        <v>35568.78165613084</v>
      </c>
    </row>
    <row r="42" spans="1:3" ht="12.75">
      <c r="A42" s="11" t="s">
        <v>19</v>
      </c>
      <c r="B42" s="8" t="s">
        <v>17</v>
      </c>
      <c r="C42" s="24"/>
    </row>
    <row r="43" spans="1:3" ht="14.25" customHeight="1">
      <c r="A43" s="23" t="s">
        <v>22</v>
      </c>
      <c r="B43" s="22"/>
      <c r="C43" s="17">
        <f>(1-POWER(1+C26/100,-C25))/(1-POWER(1+C26/100,-C37))</f>
        <v>0.8233514272252509</v>
      </c>
    </row>
    <row r="44" spans="1:3" ht="12.75">
      <c r="A44" s="10"/>
      <c r="B44" s="8"/>
      <c r="C44" s="12"/>
    </row>
    <row r="45" spans="1:3" ht="12.75">
      <c r="A45" s="10"/>
      <c r="C45" s="12"/>
    </row>
    <row r="46" spans="1:3" ht="12.75">
      <c r="A46" s="14" t="s">
        <v>12</v>
      </c>
      <c r="C46" s="12"/>
    </row>
    <row r="47" spans="1:3" ht="12.75">
      <c r="A47" s="10"/>
      <c r="C47" s="12"/>
    </row>
    <row r="48" spans="4:54" ht="15" thickBot="1">
      <c r="D48" s="29" t="s">
        <v>5</v>
      </c>
      <c r="E48" s="29">
        <f aca="true" t="shared" si="6" ref="E48:AJ48">E28</f>
        <v>1</v>
      </c>
      <c r="F48" s="29">
        <f t="shared" si="6"/>
        <v>2</v>
      </c>
      <c r="G48" s="29">
        <f t="shared" si="6"/>
        <v>3</v>
      </c>
      <c r="H48" s="29">
        <f t="shared" si="6"/>
        <v>4</v>
      </c>
      <c r="I48" s="29">
        <f t="shared" si="6"/>
        <v>5</v>
      </c>
      <c r="J48" s="29">
        <f t="shared" si="6"/>
        <v>6</v>
      </c>
      <c r="K48" s="29">
        <f t="shared" si="6"/>
        <v>7</v>
      </c>
      <c r="L48" s="29">
        <f t="shared" si="6"/>
        <v>8</v>
      </c>
      <c r="M48" s="29">
        <f t="shared" si="6"/>
        <v>9</v>
      </c>
      <c r="N48" s="29">
        <f t="shared" si="6"/>
        <v>10</v>
      </c>
      <c r="O48" s="29">
        <f t="shared" si="6"/>
        <v>11</v>
      </c>
      <c r="P48" s="29">
        <f t="shared" si="6"/>
        <v>12</v>
      </c>
      <c r="Q48" s="29">
        <f t="shared" si="6"/>
        <v>13</v>
      </c>
      <c r="R48" s="29">
        <f t="shared" si="6"/>
        <v>14</v>
      </c>
      <c r="S48" s="29">
        <f t="shared" si="6"/>
        <v>15</v>
      </c>
      <c r="T48" s="29">
        <f t="shared" si="6"/>
        <v>16</v>
      </c>
      <c r="U48" s="29">
        <f t="shared" si="6"/>
        <v>17</v>
      </c>
      <c r="V48" s="29">
        <f t="shared" si="6"/>
        <v>18</v>
      </c>
      <c r="W48" s="29">
        <f t="shared" si="6"/>
        <v>19</v>
      </c>
      <c r="X48" s="29">
        <f t="shared" si="6"/>
        <v>20</v>
      </c>
      <c r="Y48" s="29">
        <f t="shared" si="6"/>
      </c>
      <c r="Z48" s="29">
        <f t="shared" si="6"/>
      </c>
      <c r="AA48" s="29">
        <f t="shared" si="6"/>
      </c>
      <c r="AB48" s="29">
        <f t="shared" si="6"/>
      </c>
      <c r="AC48" s="29">
        <f t="shared" si="6"/>
      </c>
      <c r="AD48" s="29">
        <f t="shared" si="6"/>
      </c>
      <c r="AE48" s="29">
        <f t="shared" si="6"/>
      </c>
      <c r="AF48" s="29">
        <f t="shared" si="6"/>
      </c>
      <c r="AG48" s="29">
        <f t="shared" si="6"/>
      </c>
      <c r="AH48" s="29">
        <f t="shared" si="6"/>
      </c>
      <c r="AI48" s="29">
        <f t="shared" si="6"/>
      </c>
      <c r="AJ48" s="29">
        <f t="shared" si="6"/>
      </c>
      <c r="AK48" s="29">
        <f aca="true" t="shared" si="7" ref="AK48:BB48">AK28</f>
      </c>
      <c r="AL48" s="29">
        <f t="shared" si="7"/>
      </c>
      <c r="AM48" s="29">
        <f t="shared" si="7"/>
      </c>
      <c r="AN48" s="29">
        <f t="shared" si="7"/>
      </c>
      <c r="AO48" s="29">
        <f t="shared" si="7"/>
      </c>
      <c r="AP48" s="29">
        <f t="shared" si="7"/>
      </c>
      <c r="AQ48" s="29">
        <f t="shared" si="7"/>
      </c>
      <c r="AR48" s="29">
        <f t="shared" si="7"/>
      </c>
      <c r="AS48" s="29">
        <f t="shared" si="7"/>
      </c>
      <c r="AT48" s="29">
        <f t="shared" si="7"/>
      </c>
      <c r="AU48" s="29">
        <f t="shared" si="7"/>
      </c>
      <c r="AV48" s="29">
        <f t="shared" si="7"/>
      </c>
      <c r="AW48" s="29">
        <f t="shared" si="7"/>
      </c>
      <c r="AX48" s="29">
        <f t="shared" si="7"/>
      </c>
      <c r="AY48" s="29">
        <f t="shared" si="7"/>
      </c>
      <c r="AZ48" s="29">
        <f t="shared" si="7"/>
      </c>
      <c r="BA48" s="29">
        <f t="shared" si="7"/>
      </c>
      <c r="BB48" s="29">
        <f t="shared" si="7"/>
      </c>
    </row>
    <row r="49" spans="1:54" ht="19.5" thickBot="1">
      <c r="A49" s="26" t="s">
        <v>15</v>
      </c>
      <c r="B49" s="22" t="s">
        <v>17</v>
      </c>
      <c r="C49" s="16">
        <f>SUM(E49:BB49)</f>
        <v>-318966.67272220174</v>
      </c>
      <c r="D49" s="2"/>
      <c r="E49" s="27">
        <f aca="true" t="shared" si="8" ref="E49:AJ49">E50*E26</f>
        <v>-30080.981627525234</v>
      </c>
      <c r="F49" s="27">
        <f t="shared" si="8"/>
        <v>-27852.760766227064</v>
      </c>
      <c r="G49" s="27">
        <f t="shared" si="8"/>
        <v>-25789.593302062094</v>
      </c>
      <c r="H49" s="27">
        <f t="shared" si="8"/>
        <v>-23879.253057464903</v>
      </c>
      <c r="I49" s="27">
        <f t="shared" si="8"/>
        <v>-22110.419497652685</v>
      </c>
      <c r="J49" s="27">
        <f t="shared" si="8"/>
        <v>-20472.61064597471</v>
      </c>
      <c r="K49" s="27">
        <f t="shared" si="8"/>
        <v>-18956.1209684951</v>
      </c>
      <c r="L49" s="27">
        <f t="shared" si="8"/>
        <v>-17551.96385971768</v>
      </c>
      <c r="M49" s="27">
        <f t="shared" si="8"/>
        <v>-16251.81838862748</v>
      </c>
      <c r="N49" s="27">
        <f t="shared" si="8"/>
        <v>-15047.979989469888</v>
      </c>
      <c r="O49" s="27">
        <f t="shared" si="8"/>
        <v>-13933.31480506471</v>
      </c>
      <c r="P49" s="27">
        <f t="shared" si="8"/>
        <v>-12901.217412096952</v>
      </c>
      <c r="Q49" s="27">
        <f t="shared" si="8"/>
        <v>-11945.571677867549</v>
      </c>
      <c r="R49" s="27">
        <f t="shared" si="8"/>
        <v>-11060.714516544027</v>
      </c>
      <c r="S49" s="27">
        <f t="shared" si="8"/>
        <v>-10241.402330133358</v>
      </c>
      <c r="T49" s="27">
        <f t="shared" si="8"/>
        <v>-9482.779935308663</v>
      </c>
      <c r="U49" s="27">
        <f t="shared" si="8"/>
        <v>-8780.351791952466</v>
      </c>
      <c r="V49" s="27">
        <f t="shared" si="8"/>
        <v>-8129.955362918948</v>
      </c>
      <c r="W49" s="27">
        <f t="shared" si="8"/>
        <v>-7527.736447147174</v>
      </c>
      <c r="X49" s="27">
        <f t="shared" si="8"/>
        <v>-6970.126339951086</v>
      </c>
      <c r="Y49" s="27">
        <f t="shared" si="8"/>
        <v>0</v>
      </c>
      <c r="Z49" s="27">
        <f t="shared" si="8"/>
        <v>0</v>
      </c>
      <c r="AA49" s="27">
        <f t="shared" si="8"/>
        <v>0</v>
      </c>
      <c r="AB49" s="27">
        <f t="shared" si="8"/>
        <v>0</v>
      </c>
      <c r="AC49" s="27">
        <f t="shared" si="8"/>
        <v>0</v>
      </c>
      <c r="AD49" s="27">
        <f t="shared" si="8"/>
        <v>0</v>
      </c>
      <c r="AE49" s="27">
        <f t="shared" si="8"/>
        <v>0</v>
      </c>
      <c r="AF49" s="27">
        <f t="shared" si="8"/>
        <v>0</v>
      </c>
      <c r="AG49" s="27">
        <f t="shared" si="8"/>
        <v>0</v>
      </c>
      <c r="AH49" s="27">
        <f t="shared" si="8"/>
        <v>0</v>
      </c>
      <c r="AI49" s="27">
        <f t="shared" si="8"/>
        <v>0</v>
      </c>
      <c r="AJ49" s="27">
        <f t="shared" si="8"/>
        <v>0</v>
      </c>
      <c r="AK49" s="27">
        <f aca="true" t="shared" si="9" ref="AK49:BB49">AK50*AK26</f>
        <v>0</v>
      </c>
      <c r="AL49" s="27">
        <f t="shared" si="9"/>
        <v>0</v>
      </c>
      <c r="AM49" s="27">
        <f t="shared" si="9"/>
        <v>0</v>
      </c>
      <c r="AN49" s="27">
        <f t="shared" si="9"/>
        <v>0</v>
      </c>
      <c r="AO49" s="27">
        <f t="shared" si="9"/>
        <v>0</v>
      </c>
      <c r="AP49" s="27">
        <f t="shared" si="9"/>
        <v>0</v>
      </c>
      <c r="AQ49" s="27">
        <f t="shared" si="9"/>
        <v>0</v>
      </c>
      <c r="AR49" s="27">
        <f t="shared" si="9"/>
        <v>0</v>
      </c>
      <c r="AS49" s="27">
        <f t="shared" si="9"/>
        <v>0</v>
      </c>
      <c r="AT49" s="27">
        <f t="shared" si="9"/>
        <v>0</v>
      </c>
      <c r="AU49" s="27">
        <f t="shared" si="9"/>
        <v>0</v>
      </c>
      <c r="AV49" s="27">
        <f t="shared" si="9"/>
        <v>0</v>
      </c>
      <c r="AW49" s="27">
        <f t="shared" si="9"/>
        <v>0</v>
      </c>
      <c r="AX49" s="27">
        <f t="shared" si="9"/>
        <v>0</v>
      </c>
      <c r="AY49" s="27">
        <f t="shared" si="9"/>
        <v>0</v>
      </c>
      <c r="AZ49" s="27">
        <f t="shared" si="9"/>
        <v>0</v>
      </c>
      <c r="BA49" s="27">
        <f t="shared" si="9"/>
        <v>0</v>
      </c>
      <c r="BB49" s="27">
        <f t="shared" si="9"/>
        <v>0</v>
      </c>
    </row>
    <row r="50" spans="1:54" ht="15.75" thickBot="1">
      <c r="A50" s="30" t="s">
        <v>24</v>
      </c>
      <c r="B50" s="8" t="s">
        <v>17</v>
      </c>
      <c r="C50" s="16">
        <f>SUM(E50:BB50)</f>
        <v>-649749.2031545449</v>
      </c>
      <c r="E50" s="31">
        <f aca="true" t="shared" si="10" ref="E50:X50">E55-E65</f>
        <v>-32487.460157727255</v>
      </c>
      <c r="F50" s="31">
        <f t="shared" si="10"/>
        <v>-32487.460157727255</v>
      </c>
      <c r="G50" s="31">
        <f t="shared" si="10"/>
        <v>-32487.460157727255</v>
      </c>
      <c r="H50" s="31">
        <f t="shared" si="10"/>
        <v>-32487.460157727255</v>
      </c>
      <c r="I50" s="31">
        <f t="shared" si="10"/>
        <v>-32487.460157727255</v>
      </c>
      <c r="J50" s="31">
        <f t="shared" si="10"/>
        <v>-32487.460157727255</v>
      </c>
      <c r="K50" s="31">
        <f t="shared" si="10"/>
        <v>-32487.460157727255</v>
      </c>
      <c r="L50" s="31">
        <f t="shared" si="10"/>
        <v>-32487.460157727255</v>
      </c>
      <c r="M50" s="31">
        <f t="shared" si="10"/>
        <v>-32487.460157727255</v>
      </c>
      <c r="N50" s="31">
        <f t="shared" si="10"/>
        <v>-32487.460157727255</v>
      </c>
      <c r="O50" s="31">
        <f t="shared" si="10"/>
        <v>-32487.460157727255</v>
      </c>
      <c r="P50" s="31">
        <f t="shared" si="10"/>
        <v>-32487.460157727255</v>
      </c>
      <c r="Q50" s="31">
        <f t="shared" si="10"/>
        <v>-32487.460157727255</v>
      </c>
      <c r="R50" s="31">
        <f t="shared" si="10"/>
        <v>-32487.460157727255</v>
      </c>
      <c r="S50" s="31">
        <f t="shared" si="10"/>
        <v>-32487.460157727255</v>
      </c>
      <c r="T50" s="31">
        <f t="shared" si="10"/>
        <v>-32487.460157727255</v>
      </c>
      <c r="U50" s="31">
        <f t="shared" si="10"/>
        <v>-32487.460157727255</v>
      </c>
      <c r="V50" s="31">
        <f t="shared" si="10"/>
        <v>-32487.460157727255</v>
      </c>
      <c r="W50" s="31">
        <f t="shared" si="10"/>
        <v>-32487.460157727255</v>
      </c>
      <c r="X50" s="31">
        <f t="shared" si="10"/>
        <v>-32487.460157727255</v>
      </c>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ht="12.75">
      <c r="A51" s="13" t="s">
        <v>13</v>
      </c>
    </row>
    <row r="53" ht="12.75">
      <c r="A53" s="13" t="s">
        <v>14</v>
      </c>
    </row>
    <row r="54" spans="1:3" ht="12.75">
      <c r="A54" s="43" t="s">
        <v>44</v>
      </c>
      <c r="B54" s="47" t="s">
        <v>43</v>
      </c>
      <c r="C54" s="49">
        <f>C63/E15</f>
        <v>290.928</v>
      </c>
    </row>
    <row r="55" spans="1:24" ht="12.75">
      <c r="A55" s="43" t="s">
        <v>45</v>
      </c>
      <c r="B55" s="47" t="s">
        <v>46</v>
      </c>
      <c r="C55" s="49">
        <f>C54*E14/100</f>
        <v>105.897792</v>
      </c>
      <c r="E55">
        <f>C55*1000</f>
        <v>105897.792</v>
      </c>
      <c r="F55">
        <f aca="true" t="shared" si="11" ref="F55:X55">E55</f>
        <v>105897.792</v>
      </c>
      <c r="G55">
        <f t="shared" si="11"/>
        <v>105897.792</v>
      </c>
      <c r="H55">
        <f t="shared" si="11"/>
        <v>105897.792</v>
      </c>
      <c r="I55">
        <f t="shared" si="11"/>
        <v>105897.792</v>
      </c>
      <c r="J55">
        <f t="shared" si="11"/>
        <v>105897.792</v>
      </c>
      <c r="K55">
        <f t="shared" si="11"/>
        <v>105897.792</v>
      </c>
      <c r="L55">
        <f t="shared" si="11"/>
        <v>105897.792</v>
      </c>
      <c r="M55">
        <f t="shared" si="11"/>
        <v>105897.792</v>
      </c>
      <c r="N55">
        <f t="shared" si="11"/>
        <v>105897.792</v>
      </c>
      <c r="O55">
        <f t="shared" si="11"/>
        <v>105897.792</v>
      </c>
      <c r="P55">
        <f t="shared" si="11"/>
        <v>105897.792</v>
      </c>
      <c r="Q55">
        <f t="shared" si="11"/>
        <v>105897.792</v>
      </c>
      <c r="R55">
        <f t="shared" si="11"/>
        <v>105897.792</v>
      </c>
      <c r="S55">
        <f t="shared" si="11"/>
        <v>105897.792</v>
      </c>
      <c r="T55">
        <f t="shared" si="11"/>
        <v>105897.792</v>
      </c>
      <c r="U55">
        <f t="shared" si="11"/>
        <v>105897.792</v>
      </c>
      <c r="V55">
        <f t="shared" si="11"/>
        <v>105897.792</v>
      </c>
      <c r="W55">
        <f t="shared" si="11"/>
        <v>105897.792</v>
      </c>
      <c r="X55">
        <f t="shared" si="11"/>
        <v>105897.792</v>
      </c>
    </row>
    <row r="56" ht="12.75">
      <c r="B56" s="8"/>
    </row>
    <row r="57" spans="1:2" ht="12.75">
      <c r="A57" s="13" t="s">
        <v>18</v>
      </c>
      <c r="B57" s="8"/>
    </row>
    <row r="58" ht="12.75">
      <c r="B58" s="8"/>
    </row>
    <row r="59" ht="12.75">
      <c r="B59" s="8"/>
    </row>
    <row r="60" spans="1:2" ht="12.75">
      <c r="A60" s="13" t="s">
        <v>16</v>
      </c>
      <c r="B60" s="8"/>
    </row>
    <row r="61" spans="1:2" ht="12.75">
      <c r="A61" s="6"/>
      <c r="B61" s="8"/>
    </row>
    <row r="62" spans="1:2" ht="12.75">
      <c r="A62" s="54" t="s">
        <v>40</v>
      </c>
      <c r="B62" s="8"/>
    </row>
    <row r="63" spans="1:3" ht="12.75">
      <c r="A63" s="43" t="s">
        <v>42</v>
      </c>
      <c r="B63" s="47" t="s">
        <v>43</v>
      </c>
      <c r="C63" s="49">
        <f>(44*3*E16*24+44*1.5*E17*24)/1000</f>
        <v>872.784</v>
      </c>
    </row>
    <row r="64" spans="1:3" ht="12.75">
      <c r="A64" s="43" t="s">
        <v>47</v>
      </c>
      <c r="B64" s="47" t="s">
        <v>48</v>
      </c>
      <c r="C64" s="49">
        <f>C63/(E18/100)*859845/E19/1000</f>
        <v>77.5267519090909</v>
      </c>
    </row>
    <row r="65" spans="1:24" ht="12.75">
      <c r="A65" s="43" t="s">
        <v>52</v>
      </c>
      <c r="B65" s="46" t="s">
        <v>46</v>
      </c>
      <c r="C65" s="49">
        <f>C64*E20/1000</f>
        <v>138.38525215772725</v>
      </c>
      <c r="E65">
        <f>C65*1000</f>
        <v>138385.25215772726</v>
      </c>
      <c r="F65">
        <f aca="true" t="shared" si="12" ref="F65:X65">E65</f>
        <v>138385.25215772726</v>
      </c>
      <c r="G65">
        <f t="shared" si="12"/>
        <v>138385.25215772726</v>
      </c>
      <c r="H65">
        <f t="shared" si="12"/>
        <v>138385.25215772726</v>
      </c>
      <c r="I65">
        <f t="shared" si="12"/>
        <v>138385.25215772726</v>
      </c>
      <c r="J65">
        <f t="shared" si="12"/>
        <v>138385.25215772726</v>
      </c>
      <c r="K65">
        <f t="shared" si="12"/>
        <v>138385.25215772726</v>
      </c>
      <c r="L65">
        <f t="shared" si="12"/>
        <v>138385.25215772726</v>
      </c>
      <c r="M65">
        <f t="shared" si="12"/>
        <v>138385.25215772726</v>
      </c>
      <c r="N65">
        <f t="shared" si="12"/>
        <v>138385.25215772726</v>
      </c>
      <c r="O65">
        <f t="shared" si="12"/>
        <v>138385.25215772726</v>
      </c>
      <c r="P65">
        <f t="shared" si="12"/>
        <v>138385.25215772726</v>
      </c>
      <c r="Q65">
        <f t="shared" si="12"/>
        <v>138385.25215772726</v>
      </c>
      <c r="R65">
        <f t="shared" si="12"/>
        <v>138385.25215772726</v>
      </c>
      <c r="S65">
        <f t="shared" si="12"/>
        <v>138385.25215772726</v>
      </c>
      <c r="T65">
        <f t="shared" si="12"/>
        <v>138385.25215772726</v>
      </c>
      <c r="U65">
        <f t="shared" si="12"/>
        <v>138385.25215772726</v>
      </c>
      <c r="V65">
        <f t="shared" si="12"/>
        <v>138385.25215772726</v>
      </c>
      <c r="W65">
        <f t="shared" si="12"/>
        <v>138385.25215772726</v>
      </c>
      <c r="X65">
        <f t="shared" si="12"/>
        <v>138385.25215772726</v>
      </c>
    </row>
    <row r="66" ht="13.5" thickBot="1"/>
    <row r="67" spans="1:3" ht="15.75" thickBot="1">
      <c r="A67" s="20" t="s">
        <v>41</v>
      </c>
      <c r="B67" s="18" t="s">
        <v>7</v>
      </c>
      <c r="C67" s="16">
        <f>C63*1000</f>
        <v>872784</v>
      </c>
    </row>
    <row r="68" spans="1:3" ht="12.75">
      <c r="A68" s="7"/>
      <c r="B68" s="8"/>
      <c r="C68" s="3"/>
    </row>
    <row r="69" spans="1:3" ht="12.75">
      <c r="A69" s="7"/>
      <c r="B69" s="8"/>
      <c r="C69" s="3"/>
    </row>
    <row r="70" spans="1:3" ht="12.75">
      <c r="A70" s="7"/>
      <c r="B70" s="8"/>
      <c r="C70" s="3"/>
    </row>
    <row r="71" spans="1:3" ht="12.75">
      <c r="A71" s="7"/>
      <c r="B71" s="8"/>
      <c r="C71" s="3"/>
    </row>
    <row r="72" ht="13.5" thickBot="1"/>
    <row r="73" spans="1:3" ht="33" thickBot="1" thickTop="1">
      <c r="A73" s="53" t="s">
        <v>58</v>
      </c>
      <c r="B73" s="38" t="s">
        <v>8</v>
      </c>
      <c r="C73" s="64">
        <f>IF(C67&gt;0,C28*100/C67*C26/100/(1-POWER(1+C26/100,-C25)),"")</f>
        <v>-2.6899403360324006</v>
      </c>
    </row>
    <row r="74" ht="13.5" thickTop="1"/>
  </sheetData>
  <sheetProtection/>
  <mergeCells count="17">
    <mergeCell ref="A1:D1"/>
    <mergeCell ref="A2:D2"/>
    <mergeCell ref="A6:I6"/>
    <mergeCell ref="A7:C7"/>
    <mergeCell ref="A9:C9"/>
    <mergeCell ref="A11:C11"/>
    <mergeCell ref="A12:C12"/>
    <mergeCell ref="A13:C13"/>
    <mergeCell ref="A10:C10"/>
    <mergeCell ref="A8:C8"/>
    <mergeCell ref="A20:C20"/>
    <mergeCell ref="A18:C18"/>
    <mergeCell ref="A19:C19"/>
    <mergeCell ref="A14:C14"/>
    <mergeCell ref="A15:C15"/>
    <mergeCell ref="A16:C16"/>
    <mergeCell ref="A17:C17"/>
  </mergeCells>
  <printOptions gridLines="1"/>
  <pageMargins left="0.89" right="0.42" top="1" bottom="0.85" header="0.5" footer="0.5"/>
  <pageSetup fitToHeight="1" fitToWidth="1" horizontalDpi="200" verticalDpi="2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51">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5" t="s">
        <v>26</v>
      </c>
      <c r="B1" s="76"/>
      <c r="C1" s="77"/>
      <c r="D1" s="77"/>
      <c r="E1" s="2"/>
    </row>
    <row r="2" spans="1:5" ht="24" customHeight="1">
      <c r="A2" s="78" t="s">
        <v>57</v>
      </c>
      <c r="B2" s="77"/>
      <c r="C2" s="77"/>
      <c r="D2" s="77"/>
      <c r="E2" s="2"/>
    </row>
    <row r="3" spans="1:5" ht="24" customHeight="1">
      <c r="A3" s="56" t="s">
        <v>64</v>
      </c>
      <c r="B3" s="55"/>
      <c r="C3" s="55"/>
      <c r="D3" s="55"/>
      <c r="E3" s="2"/>
    </row>
    <row r="4" spans="1:5" ht="12" customHeight="1">
      <c r="A4" s="5"/>
      <c r="B4" s="2"/>
      <c r="C4" s="2"/>
      <c r="D4" s="2"/>
      <c r="E4" s="2"/>
    </row>
    <row r="5" spans="1:5" ht="12" customHeight="1" thickBot="1">
      <c r="A5" s="25" t="s">
        <v>4</v>
      </c>
      <c r="B5" s="2"/>
      <c r="C5" s="2"/>
      <c r="D5" s="2"/>
      <c r="E5" s="2"/>
    </row>
    <row r="6" spans="1:9" ht="132.75" customHeight="1" thickBot="1">
      <c r="A6" s="79" t="s">
        <v>59</v>
      </c>
      <c r="B6" s="80"/>
      <c r="C6" s="80"/>
      <c r="D6" s="80"/>
      <c r="E6" s="80"/>
      <c r="F6" s="80"/>
      <c r="G6" s="80"/>
      <c r="H6" s="80"/>
      <c r="I6" s="81"/>
    </row>
    <row r="7" spans="1:9" ht="15" customHeight="1" thickBot="1">
      <c r="A7" s="82" t="s">
        <v>25</v>
      </c>
      <c r="B7" s="83"/>
      <c r="C7" s="84"/>
      <c r="D7" s="36" t="s">
        <v>1</v>
      </c>
      <c r="E7" s="33"/>
      <c r="F7" s="33"/>
      <c r="G7" s="33"/>
      <c r="H7" s="33"/>
      <c r="I7" s="33"/>
    </row>
    <row r="8" spans="1:9" ht="15" customHeight="1" thickTop="1">
      <c r="A8" s="72" t="s">
        <v>28</v>
      </c>
      <c r="B8" s="73"/>
      <c r="C8" s="74"/>
      <c r="D8" s="34" t="s">
        <v>27</v>
      </c>
      <c r="E8" s="42">
        <v>143.6</v>
      </c>
      <c r="F8" s="33"/>
      <c r="G8" s="33"/>
      <c r="H8" s="33"/>
      <c r="I8" s="33"/>
    </row>
    <row r="9" spans="1:9" ht="15" customHeight="1">
      <c r="A9" s="68" t="s">
        <v>29</v>
      </c>
      <c r="B9" s="69"/>
      <c r="C9" s="70"/>
      <c r="D9" s="34" t="s">
        <v>27</v>
      </c>
      <c r="E9" s="42">
        <v>25</v>
      </c>
      <c r="F9" s="33"/>
      <c r="G9" s="33"/>
      <c r="H9" s="33"/>
      <c r="I9" s="33"/>
    </row>
    <row r="10" spans="1:9" ht="15" customHeight="1">
      <c r="A10" s="68" t="s">
        <v>55</v>
      </c>
      <c r="B10" s="71"/>
      <c r="C10" s="70"/>
      <c r="D10" s="34" t="s">
        <v>56</v>
      </c>
      <c r="E10" s="51">
        <v>20</v>
      </c>
      <c r="F10" s="33"/>
      <c r="G10" s="33"/>
      <c r="H10" s="33"/>
      <c r="I10" s="33"/>
    </row>
    <row r="11" spans="1:9" ht="15" customHeight="1">
      <c r="A11" s="68" t="s">
        <v>30</v>
      </c>
      <c r="B11" s="69"/>
      <c r="C11" s="70"/>
      <c r="D11" s="34" t="s">
        <v>27</v>
      </c>
      <c r="E11" s="42">
        <v>216</v>
      </c>
      <c r="F11" s="33"/>
      <c r="G11" s="33"/>
      <c r="H11" s="33"/>
      <c r="I11" s="33"/>
    </row>
    <row r="12" spans="1:9" ht="15" customHeight="1">
      <c r="A12" s="68" t="s">
        <v>31</v>
      </c>
      <c r="B12" s="69"/>
      <c r="C12" s="70"/>
      <c r="D12" s="34" t="s">
        <v>27</v>
      </c>
      <c r="E12" s="42">
        <v>80</v>
      </c>
      <c r="F12" s="33"/>
      <c r="G12" s="33"/>
      <c r="H12" s="33"/>
      <c r="I12" s="33"/>
    </row>
    <row r="13" spans="1:9" ht="15" customHeight="1">
      <c r="A13" s="68" t="s">
        <v>32</v>
      </c>
      <c r="B13" s="69"/>
      <c r="C13" s="70"/>
      <c r="D13" s="34" t="s">
        <v>27</v>
      </c>
      <c r="E13" s="42">
        <v>30</v>
      </c>
      <c r="F13" s="33"/>
      <c r="G13" s="33"/>
      <c r="H13" s="33"/>
      <c r="I13" s="33"/>
    </row>
    <row r="14" spans="1:9" ht="15" customHeight="1">
      <c r="A14" s="68" t="s">
        <v>33</v>
      </c>
      <c r="B14" s="69"/>
      <c r="C14" s="70"/>
      <c r="D14" s="34" t="s">
        <v>8</v>
      </c>
      <c r="E14" s="42">
        <v>36.4</v>
      </c>
      <c r="F14" s="33"/>
      <c r="G14" s="33"/>
      <c r="H14" s="33"/>
      <c r="I14" s="33"/>
    </row>
    <row r="15" spans="1:9" ht="15" customHeight="1">
      <c r="A15" s="68" t="s">
        <v>34</v>
      </c>
      <c r="B15" s="69"/>
      <c r="C15" s="70"/>
      <c r="D15" s="33"/>
      <c r="E15" s="42">
        <v>3</v>
      </c>
      <c r="F15" s="33"/>
      <c r="G15" s="33"/>
      <c r="H15" s="33"/>
      <c r="I15" s="33"/>
    </row>
    <row r="16" spans="1:9" ht="15" customHeight="1">
      <c r="A16" s="68" t="s">
        <v>37</v>
      </c>
      <c r="B16" s="69"/>
      <c r="C16" s="70"/>
      <c r="D16" s="34" t="s">
        <v>39</v>
      </c>
      <c r="E16" s="42">
        <v>186</v>
      </c>
      <c r="F16" s="33"/>
      <c r="G16" s="33"/>
      <c r="H16" s="33"/>
      <c r="I16" s="33"/>
    </row>
    <row r="17" spans="1:9" ht="15" customHeight="1">
      <c r="A17" s="68" t="s">
        <v>38</v>
      </c>
      <c r="B17" s="69"/>
      <c r="C17" s="70"/>
      <c r="D17" s="34" t="s">
        <v>39</v>
      </c>
      <c r="E17" s="42">
        <v>179</v>
      </c>
      <c r="F17" s="33"/>
      <c r="G17" s="33"/>
      <c r="H17" s="33"/>
      <c r="I17" s="33"/>
    </row>
    <row r="18" spans="1:9" ht="15" customHeight="1">
      <c r="A18" s="68" t="s">
        <v>49</v>
      </c>
      <c r="B18" s="69"/>
      <c r="C18" s="70"/>
      <c r="D18" s="34" t="s">
        <v>3</v>
      </c>
      <c r="E18" s="42">
        <v>88</v>
      </c>
      <c r="F18" s="42"/>
      <c r="G18" s="33"/>
      <c r="H18" s="33"/>
      <c r="I18" s="33"/>
    </row>
    <row r="19" spans="1:9" ht="15" customHeight="1">
      <c r="A19" s="68" t="s">
        <v>50</v>
      </c>
      <c r="B19" s="69"/>
      <c r="C19" s="70"/>
      <c r="D19" s="34" t="s">
        <v>51</v>
      </c>
      <c r="E19" s="42">
        <v>11000</v>
      </c>
      <c r="F19" s="42"/>
      <c r="G19" s="33"/>
      <c r="H19" s="33"/>
      <c r="I19" s="33"/>
    </row>
    <row r="20" spans="1:9" ht="15" customHeight="1" thickBot="1">
      <c r="A20" s="65" t="s">
        <v>53</v>
      </c>
      <c r="B20" s="66"/>
      <c r="C20" s="67"/>
      <c r="D20" s="34" t="s">
        <v>54</v>
      </c>
      <c r="E20" s="42">
        <v>1785</v>
      </c>
      <c r="F20" s="33"/>
      <c r="G20" s="33"/>
      <c r="H20" s="33"/>
      <c r="I20" s="33"/>
    </row>
    <row r="21" spans="1:9" ht="15" customHeight="1">
      <c r="A21" s="32"/>
      <c r="B21" s="37"/>
      <c r="C21" s="37"/>
      <c r="D21" s="33"/>
      <c r="E21" s="33"/>
      <c r="F21" s="33"/>
      <c r="G21" s="33"/>
      <c r="H21" s="33"/>
      <c r="I21" s="33"/>
    </row>
    <row r="22" spans="1:9" ht="15" customHeight="1">
      <c r="A22" s="32"/>
      <c r="B22" s="33"/>
      <c r="C22" s="33"/>
      <c r="D22" s="33"/>
      <c r="E22" s="33"/>
      <c r="F22" s="33"/>
      <c r="G22" s="33"/>
      <c r="H22" s="33"/>
      <c r="I22" s="33"/>
    </row>
    <row r="23" spans="1:5" ht="15" customHeight="1" thickBot="1">
      <c r="A23" s="1"/>
      <c r="B23" s="2"/>
      <c r="C23" s="2"/>
      <c r="D23" s="2"/>
      <c r="E23" s="2"/>
    </row>
    <row r="24" spans="1:3" ht="14.25" thickBot="1" thickTop="1">
      <c r="A24" s="35" t="s">
        <v>0</v>
      </c>
      <c r="B24" s="4" t="s">
        <v>1</v>
      </c>
      <c r="C24" s="3"/>
    </row>
    <row r="25" spans="1:3" ht="25.5" customHeight="1" thickTop="1">
      <c r="A25" s="19" t="s">
        <v>21</v>
      </c>
      <c r="B25" s="39" t="s">
        <v>6</v>
      </c>
      <c r="C25" s="40">
        <f>E10</f>
        <v>20</v>
      </c>
    </row>
    <row r="26" spans="1:54" ht="15" thickBot="1">
      <c r="A26" s="17" t="s">
        <v>2</v>
      </c>
      <c r="B26" s="39" t="s">
        <v>3</v>
      </c>
      <c r="C26" s="41">
        <v>8</v>
      </c>
      <c r="D26" s="15">
        <v>1</v>
      </c>
      <c r="E26" s="15">
        <f>1/(1+C26/100)</f>
        <v>0.9259259259259258</v>
      </c>
      <c r="F26" s="15">
        <f aca="true" t="shared" si="0" ref="F26:AK26">E26/(1+$C26/100)</f>
        <v>0.8573388203017831</v>
      </c>
      <c r="G26" s="15">
        <f t="shared" si="0"/>
        <v>0.7938322410201695</v>
      </c>
      <c r="H26" s="15">
        <f t="shared" si="0"/>
        <v>0.7350298527964532</v>
      </c>
      <c r="I26" s="15">
        <f t="shared" si="0"/>
        <v>0.6805831970337529</v>
      </c>
      <c r="J26" s="15">
        <f t="shared" si="0"/>
        <v>0.6301696268831045</v>
      </c>
      <c r="K26" s="15">
        <f t="shared" si="0"/>
        <v>0.5834903952621338</v>
      </c>
      <c r="L26" s="15">
        <f t="shared" si="0"/>
        <v>0.5402688845019756</v>
      </c>
      <c r="M26" s="15">
        <f t="shared" si="0"/>
        <v>0.5002489671314588</v>
      </c>
      <c r="N26" s="15">
        <f t="shared" si="0"/>
        <v>0.4631934880846841</v>
      </c>
      <c r="O26" s="15">
        <f t="shared" si="0"/>
        <v>0.4288828593376704</v>
      </c>
      <c r="P26" s="15">
        <f t="shared" si="0"/>
        <v>0.3971137586459911</v>
      </c>
      <c r="Q26" s="15">
        <f t="shared" si="0"/>
        <v>0.36769792467221396</v>
      </c>
      <c r="R26" s="15">
        <f t="shared" si="0"/>
        <v>0.3404610413631611</v>
      </c>
      <c r="S26" s="15">
        <f t="shared" si="0"/>
        <v>0.3152417049658899</v>
      </c>
      <c r="T26" s="15">
        <f t="shared" si="0"/>
        <v>0.2918904675610091</v>
      </c>
      <c r="U26" s="15">
        <f t="shared" si="0"/>
        <v>0.27026895144537877</v>
      </c>
      <c r="V26" s="15">
        <f t="shared" si="0"/>
        <v>0.2502490291160914</v>
      </c>
      <c r="W26" s="15">
        <f t="shared" si="0"/>
        <v>0.23171206399638095</v>
      </c>
      <c r="X26" s="15">
        <f t="shared" si="0"/>
        <v>0.21454820740405642</v>
      </c>
      <c r="Y26" s="15">
        <f t="shared" si="0"/>
        <v>0.19865574759634852</v>
      </c>
      <c r="Z26" s="15">
        <f t="shared" si="0"/>
        <v>0.18394050703365603</v>
      </c>
      <c r="AA26" s="15">
        <f t="shared" si="0"/>
        <v>0.17031528429042223</v>
      </c>
      <c r="AB26" s="15">
        <f t="shared" si="0"/>
        <v>0.15769933730594649</v>
      </c>
      <c r="AC26" s="15">
        <f t="shared" si="0"/>
        <v>0.14601790491291342</v>
      </c>
      <c r="AD26" s="15">
        <f t="shared" si="0"/>
        <v>0.13520176380825316</v>
      </c>
      <c r="AE26" s="15">
        <f t="shared" si="0"/>
        <v>0.12518681834097514</v>
      </c>
      <c r="AF26" s="15">
        <f t="shared" si="0"/>
        <v>0.11591372068608809</v>
      </c>
      <c r="AG26" s="15">
        <f t="shared" si="0"/>
        <v>0.10732751915378526</v>
      </c>
      <c r="AH26" s="15">
        <f t="shared" si="0"/>
        <v>0.09937733254980116</v>
      </c>
      <c r="AI26" s="15">
        <f t="shared" si="0"/>
        <v>0.09201604865722329</v>
      </c>
      <c r="AJ26" s="15">
        <f t="shared" si="0"/>
        <v>0.08520004505298452</v>
      </c>
      <c r="AK26" s="15">
        <f t="shared" si="0"/>
        <v>0.0788889306046153</v>
      </c>
      <c r="AL26" s="15">
        <f aca="true" t="shared" si="1" ref="AL26:BB26">AK26/(1+$C26/100)</f>
        <v>0.07304530611538453</v>
      </c>
      <c r="AM26" s="15">
        <f t="shared" si="1"/>
        <v>0.06763454269943012</v>
      </c>
      <c r="AN26" s="15">
        <f t="shared" si="1"/>
        <v>0.0626245765735464</v>
      </c>
      <c r="AO26" s="15">
        <f t="shared" si="1"/>
        <v>0.057985719049580005</v>
      </c>
      <c r="AP26" s="15">
        <f t="shared" si="1"/>
        <v>0.05369048060146296</v>
      </c>
      <c r="AQ26" s="15">
        <f t="shared" si="1"/>
        <v>0.04971340796431755</v>
      </c>
      <c r="AR26" s="15">
        <f t="shared" si="1"/>
        <v>0.04603093330029402</v>
      </c>
      <c r="AS26" s="15">
        <f t="shared" si="1"/>
        <v>0.042621234537309274</v>
      </c>
      <c r="AT26" s="15">
        <f t="shared" si="1"/>
        <v>0.03946410605306414</v>
      </c>
      <c r="AU26" s="15">
        <f t="shared" si="1"/>
        <v>0.03654083893802235</v>
      </c>
      <c r="AV26" s="15">
        <f t="shared" si="1"/>
        <v>0.033834110127798474</v>
      </c>
      <c r="AW26" s="15">
        <f t="shared" si="1"/>
        <v>0.03132787974796155</v>
      </c>
      <c r="AX26" s="15">
        <f t="shared" si="1"/>
        <v>0.02900729606292736</v>
      </c>
      <c r="AY26" s="15">
        <f t="shared" si="1"/>
        <v>0.02685860746567348</v>
      </c>
      <c r="AZ26" s="15">
        <f t="shared" si="1"/>
        <v>0.0248690809867347</v>
      </c>
      <c r="BA26" s="15">
        <f t="shared" si="1"/>
        <v>0.023026926839569164</v>
      </c>
      <c r="BB26" s="15">
        <f t="shared" si="1"/>
        <v>0.02132122855515663</v>
      </c>
    </row>
    <row r="27" ht="15" thickBot="1">
      <c r="D27" s="29" t="s">
        <v>5</v>
      </c>
    </row>
    <row r="28" spans="1:54" ht="15.75" thickBot="1">
      <c r="A28" s="20" t="s">
        <v>20</v>
      </c>
      <c r="B28" s="18" t="s">
        <v>17</v>
      </c>
      <c r="C28" s="16">
        <f>C29+C52</f>
        <v>-229619.64418554955</v>
      </c>
      <c r="D28" s="29">
        <v>0</v>
      </c>
      <c r="E28" s="29">
        <f aca="true" t="shared" si="2" ref="E28:AJ28">IF(D28&lt;$C25,D28+1,"")</f>
        <v>1</v>
      </c>
      <c r="F28" s="29">
        <f t="shared" si="2"/>
        <v>2</v>
      </c>
      <c r="G28" s="29">
        <f t="shared" si="2"/>
        <v>3</v>
      </c>
      <c r="H28" s="29">
        <f t="shared" si="2"/>
        <v>4</v>
      </c>
      <c r="I28" s="29">
        <f t="shared" si="2"/>
        <v>5</v>
      </c>
      <c r="J28" s="29">
        <f t="shared" si="2"/>
        <v>6</v>
      </c>
      <c r="K28" s="29">
        <f t="shared" si="2"/>
        <v>7</v>
      </c>
      <c r="L28" s="29">
        <f t="shared" si="2"/>
        <v>8</v>
      </c>
      <c r="M28" s="29">
        <f t="shared" si="2"/>
        <v>9</v>
      </c>
      <c r="N28" s="29">
        <f t="shared" si="2"/>
        <v>10</v>
      </c>
      <c r="O28" s="29">
        <f t="shared" si="2"/>
        <v>11</v>
      </c>
      <c r="P28" s="29">
        <f t="shared" si="2"/>
        <v>12</v>
      </c>
      <c r="Q28" s="29">
        <f t="shared" si="2"/>
        <v>13</v>
      </c>
      <c r="R28" s="29">
        <f t="shared" si="2"/>
        <v>14</v>
      </c>
      <c r="S28" s="29">
        <f t="shared" si="2"/>
        <v>15</v>
      </c>
      <c r="T28" s="29">
        <f t="shared" si="2"/>
        <v>16</v>
      </c>
      <c r="U28" s="29">
        <f t="shared" si="2"/>
        <v>17</v>
      </c>
      <c r="V28" s="29">
        <f t="shared" si="2"/>
        <v>18</v>
      </c>
      <c r="W28" s="29">
        <f t="shared" si="2"/>
        <v>19</v>
      </c>
      <c r="X28" s="29">
        <f t="shared" si="2"/>
        <v>20</v>
      </c>
      <c r="Y28" s="29">
        <f t="shared" si="2"/>
      </c>
      <c r="Z28" s="29">
        <f t="shared" si="2"/>
      </c>
      <c r="AA28" s="29">
        <f t="shared" si="2"/>
      </c>
      <c r="AB28" s="29">
        <f t="shared" si="2"/>
      </c>
      <c r="AC28" s="29">
        <f t="shared" si="2"/>
      </c>
      <c r="AD28" s="29">
        <f t="shared" si="2"/>
      </c>
      <c r="AE28" s="29">
        <f t="shared" si="2"/>
      </c>
      <c r="AF28" s="29">
        <f t="shared" si="2"/>
      </c>
      <c r="AG28" s="29">
        <f t="shared" si="2"/>
      </c>
      <c r="AH28" s="29">
        <f t="shared" si="2"/>
      </c>
      <c r="AI28" s="29">
        <f t="shared" si="2"/>
      </c>
      <c r="AJ28" s="29">
        <f t="shared" si="2"/>
      </c>
      <c r="AK28" s="29">
        <f aca="true" t="shared" si="3" ref="AK28:BB28">IF(AJ28&lt;$C25,AJ28+1,"")</f>
      </c>
      <c r="AL28" s="29">
        <f t="shared" si="3"/>
      </c>
      <c r="AM28" s="29">
        <f t="shared" si="3"/>
      </c>
      <c r="AN28" s="29">
        <f t="shared" si="3"/>
      </c>
      <c r="AO28" s="29">
        <f t="shared" si="3"/>
      </c>
      <c r="AP28" s="29">
        <f t="shared" si="3"/>
      </c>
      <c r="AQ28" s="29">
        <f t="shared" si="3"/>
      </c>
      <c r="AR28" s="29">
        <f t="shared" si="3"/>
      </c>
      <c r="AS28" s="29">
        <f t="shared" si="3"/>
      </c>
      <c r="AT28" s="29">
        <f t="shared" si="3"/>
      </c>
      <c r="AU28" s="29">
        <f t="shared" si="3"/>
      </c>
      <c r="AV28" s="29">
        <f t="shared" si="3"/>
      </c>
      <c r="AW28" s="29">
        <f t="shared" si="3"/>
      </c>
      <c r="AX28" s="29">
        <f t="shared" si="3"/>
      </c>
      <c r="AY28" s="29">
        <f t="shared" si="3"/>
      </c>
      <c r="AZ28" s="29">
        <f t="shared" si="3"/>
      </c>
      <c r="BA28" s="29">
        <f t="shared" si="3"/>
      </c>
      <c r="BB28" s="29">
        <f t="shared" si="3"/>
      </c>
    </row>
    <row r="29" spans="1:54" ht="19.5" thickBot="1">
      <c r="A29" s="26" t="s">
        <v>9</v>
      </c>
      <c r="B29" s="21" t="s">
        <v>17</v>
      </c>
      <c r="C29" s="16">
        <f>SUM(D29:BB29)</f>
        <v>89347.02853665219</v>
      </c>
      <c r="D29" s="27">
        <f aca="true" t="shared" si="4" ref="D29:AI29">D30*D26</f>
        <v>884.6240449173487</v>
      </c>
      <c r="E29" s="27">
        <f t="shared" si="4"/>
        <v>20514.796473571583</v>
      </c>
      <c r="F29" s="27">
        <f t="shared" si="4"/>
        <v>18995.181919973686</v>
      </c>
      <c r="G29" s="27">
        <f t="shared" si="4"/>
        <v>17588.131407383044</v>
      </c>
      <c r="H29" s="27">
        <f t="shared" si="4"/>
        <v>16285.306858688002</v>
      </c>
      <c r="I29" s="27">
        <f t="shared" si="4"/>
        <v>15078.987832118522</v>
      </c>
      <c r="J29" s="27">
        <f t="shared" si="4"/>
        <v>0</v>
      </c>
      <c r="K29" s="27">
        <f t="shared" si="4"/>
        <v>0</v>
      </c>
      <c r="L29" s="27">
        <f t="shared" si="4"/>
        <v>0</v>
      </c>
      <c r="M29" s="27">
        <f t="shared" si="4"/>
        <v>0</v>
      </c>
      <c r="N29" s="27">
        <f t="shared" si="4"/>
        <v>0</v>
      </c>
      <c r="O29" s="27">
        <f t="shared" si="4"/>
        <v>0</v>
      </c>
      <c r="P29" s="27">
        <f t="shared" si="4"/>
        <v>0</v>
      </c>
      <c r="Q29" s="27">
        <f t="shared" si="4"/>
        <v>0</v>
      </c>
      <c r="R29" s="27">
        <f t="shared" si="4"/>
        <v>0</v>
      </c>
      <c r="S29" s="27">
        <f t="shared" si="4"/>
        <v>0</v>
      </c>
      <c r="T29" s="27">
        <f t="shared" si="4"/>
        <v>0</v>
      </c>
      <c r="U29" s="27">
        <f t="shared" si="4"/>
        <v>0</v>
      </c>
      <c r="V29" s="27">
        <f t="shared" si="4"/>
        <v>0</v>
      </c>
      <c r="W29" s="27">
        <f t="shared" si="4"/>
        <v>0</v>
      </c>
      <c r="X29" s="27">
        <f t="shared" si="4"/>
        <v>0</v>
      </c>
      <c r="Y29" s="27">
        <f t="shared" si="4"/>
        <v>0</v>
      </c>
      <c r="Z29" s="27">
        <f t="shared" si="4"/>
        <v>0</v>
      </c>
      <c r="AA29" s="27">
        <f t="shared" si="4"/>
        <v>0</v>
      </c>
      <c r="AB29" s="27">
        <f t="shared" si="4"/>
        <v>0</v>
      </c>
      <c r="AC29" s="27">
        <f t="shared" si="4"/>
        <v>0</v>
      </c>
      <c r="AD29" s="27">
        <f t="shared" si="4"/>
        <v>0</v>
      </c>
      <c r="AE29" s="27">
        <f t="shared" si="4"/>
        <v>0</v>
      </c>
      <c r="AF29" s="27">
        <f t="shared" si="4"/>
        <v>0</v>
      </c>
      <c r="AG29" s="27">
        <f t="shared" si="4"/>
        <v>0</v>
      </c>
      <c r="AH29" s="27">
        <f t="shared" si="4"/>
        <v>0</v>
      </c>
      <c r="AI29" s="27">
        <f t="shared" si="4"/>
        <v>0</v>
      </c>
      <c r="AJ29" s="27">
        <f aca="true" t="shared" si="5" ref="AJ29:BB29">AJ30*AJ26</f>
        <v>0</v>
      </c>
      <c r="AK29" s="27">
        <f t="shared" si="5"/>
        <v>0</v>
      </c>
      <c r="AL29" s="27">
        <f t="shared" si="5"/>
        <v>0</v>
      </c>
      <c r="AM29" s="27">
        <f t="shared" si="5"/>
        <v>0</v>
      </c>
      <c r="AN29" s="27">
        <f t="shared" si="5"/>
        <v>0</v>
      </c>
      <c r="AO29" s="27">
        <f t="shared" si="5"/>
        <v>0</v>
      </c>
      <c r="AP29" s="27">
        <f t="shared" si="5"/>
        <v>0</v>
      </c>
      <c r="AQ29" s="27">
        <f t="shared" si="5"/>
        <v>0</v>
      </c>
      <c r="AR29" s="27">
        <f t="shared" si="5"/>
        <v>0</v>
      </c>
      <c r="AS29" s="27">
        <f t="shared" si="5"/>
        <v>0</v>
      </c>
      <c r="AT29" s="27">
        <f t="shared" si="5"/>
        <v>0</v>
      </c>
      <c r="AU29" s="27">
        <f t="shared" si="5"/>
        <v>0</v>
      </c>
      <c r="AV29" s="27">
        <f t="shared" si="5"/>
        <v>0</v>
      </c>
      <c r="AW29" s="27">
        <f t="shared" si="5"/>
        <v>0</v>
      </c>
      <c r="AX29" s="27">
        <f t="shared" si="5"/>
        <v>0</v>
      </c>
      <c r="AY29" s="27">
        <f t="shared" si="5"/>
        <v>0</v>
      </c>
      <c r="AZ29" s="27">
        <f t="shared" si="5"/>
        <v>0</v>
      </c>
      <c r="BA29" s="27">
        <f t="shared" si="5"/>
        <v>0</v>
      </c>
      <c r="BB29" s="27">
        <f t="shared" si="5"/>
        <v>0</v>
      </c>
    </row>
    <row r="30" spans="1:54" ht="14.25" customHeight="1">
      <c r="A30" s="30" t="s">
        <v>23</v>
      </c>
      <c r="B30" s="28" t="s">
        <v>17</v>
      </c>
      <c r="C30" s="12">
        <f>(C32+C33+C34+C38+C40)*1000</f>
        <v>494600</v>
      </c>
      <c r="D30" s="50">
        <f aca="true" t="shared" si="6" ref="D30:I30">D32+D33+D34+D39+D41+D48+D49</f>
        <v>884.6240449173487</v>
      </c>
      <c r="E30" s="50">
        <f t="shared" si="6"/>
        <v>22155.98019145731</v>
      </c>
      <c r="F30" s="50">
        <f t="shared" si="6"/>
        <v>22155.98019145731</v>
      </c>
      <c r="G30" s="50">
        <f t="shared" si="6"/>
        <v>22155.980191457315</v>
      </c>
      <c r="H30" s="50">
        <f t="shared" si="6"/>
        <v>22155.980191457315</v>
      </c>
      <c r="I30" s="50">
        <f t="shared" si="6"/>
        <v>22155.980191457318</v>
      </c>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3" ht="12.75">
      <c r="A31" s="13" t="s">
        <v>10</v>
      </c>
      <c r="C31" s="9"/>
    </row>
    <row r="32" spans="1:3" ht="12.75">
      <c r="A32" s="43" t="s">
        <v>35</v>
      </c>
      <c r="B32" s="44" t="s">
        <v>27</v>
      </c>
      <c r="C32" s="45">
        <f>E8</f>
        <v>143.6</v>
      </c>
    </row>
    <row r="33" spans="1:3" ht="12.75">
      <c r="A33" s="43" t="s">
        <v>29</v>
      </c>
      <c r="B33" s="44" t="s">
        <v>27</v>
      </c>
      <c r="C33" s="45">
        <f>E9</f>
        <v>25</v>
      </c>
    </row>
    <row r="34" spans="1:3" ht="12.75">
      <c r="A34" s="46" t="s">
        <v>36</v>
      </c>
      <c r="B34" s="44" t="s">
        <v>27</v>
      </c>
      <c r="C34" s="45">
        <f>E13</f>
        <v>30</v>
      </c>
    </row>
    <row r="35" ht="12.75">
      <c r="C35" s="9"/>
    </row>
    <row r="36" ht="12.75">
      <c r="A36" s="13" t="s">
        <v>11</v>
      </c>
    </row>
    <row r="37" spans="1:3" ht="12.75">
      <c r="A37" s="46" t="s">
        <v>61</v>
      </c>
      <c r="B37" s="47" t="s">
        <v>56</v>
      </c>
      <c r="C37" s="46">
        <v>40</v>
      </c>
    </row>
    <row r="38" spans="1:3" ht="12.75">
      <c r="A38" s="46" t="s">
        <v>31</v>
      </c>
      <c r="B38" s="47" t="s">
        <v>27</v>
      </c>
      <c r="C38" s="46">
        <f>E12</f>
        <v>80</v>
      </c>
    </row>
    <row r="39" spans="1:4" ht="12.75">
      <c r="A39" s="46" t="s">
        <v>60</v>
      </c>
      <c r="B39" s="47" t="s">
        <v>27</v>
      </c>
      <c r="C39" s="52">
        <f>C38*C43</f>
        <v>65.86811417802008</v>
      </c>
      <c r="D39" s="48"/>
    </row>
    <row r="40" spans="1:4" ht="12.75">
      <c r="A40" s="43" t="s">
        <v>30</v>
      </c>
      <c r="B40" s="44" t="s">
        <v>27</v>
      </c>
      <c r="C40" s="52">
        <f>E11</f>
        <v>216</v>
      </c>
      <c r="D40" s="48"/>
    </row>
    <row r="41" spans="1:4" ht="12.75">
      <c r="A41" s="46" t="s">
        <v>62</v>
      </c>
      <c r="B41" s="44" t="s">
        <v>27</v>
      </c>
      <c r="C41" s="52">
        <f>C40*C43</f>
        <v>177.8439082806542</v>
      </c>
      <c r="D41" s="48"/>
    </row>
    <row r="42" spans="1:3" ht="12.75">
      <c r="A42" s="11" t="s">
        <v>19</v>
      </c>
      <c r="B42" s="8" t="s">
        <v>17</v>
      </c>
      <c r="C42" s="24"/>
    </row>
    <row r="43" spans="1:3" ht="14.25" customHeight="1">
      <c r="A43" s="23" t="s">
        <v>22</v>
      </c>
      <c r="B43" s="22"/>
      <c r="C43" s="17">
        <f>(1-POWER(1+C26/100,-C25))/(1-POWER(1+C26/100,-C37))</f>
        <v>0.8233514272252509</v>
      </c>
    </row>
    <row r="44" spans="1:3" ht="12.75">
      <c r="A44" s="10"/>
      <c r="B44" s="8"/>
      <c r="C44" s="12"/>
    </row>
    <row r="45" spans="1:3" ht="12.75">
      <c r="A45" s="10"/>
      <c r="C45" s="12"/>
    </row>
    <row r="46" spans="1:3" ht="12.75">
      <c r="A46" s="14" t="s">
        <v>12</v>
      </c>
      <c r="C46" s="12"/>
    </row>
    <row r="47" spans="1:9" ht="12.75">
      <c r="A47" s="59" t="s">
        <v>68</v>
      </c>
      <c r="B47" s="60" t="s">
        <v>17</v>
      </c>
      <c r="C47" s="62">
        <f>'1 FinPlanas'!D30*0.2</f>
        <v>88462.40449173487</v>
      </c>
      <c r="D47" s="57"/>
      <c r="E47" s="57"/>
      <c r="F47" s="57"/>
      <c r="G47" s="57"/>
      <c r="H47" s="57"/>
      <c r="I47" s="57"/>
    </row>
    <row r="48" spans="1:9" ht="12.75">
      <c r="A48" s="59" t="s">
        <v>71</v>
      </c>
      <c r="B48" s="60" t="s">
        <v>17</v>
      </c>
      <c r="C48" s="62">
        <f>SUM(E48:I48)</f>
        <v>110779.90095728658</v>
      </c>
      <c r="D48" s="57"/>
      <c r="E48" s="58">
        <v>22155.98019145731</v>
      </c>
      <c r="F48" s="58">
        <v>22155.98019145731</v>
      </c>
      <c r="G48" s="58">
        <v>22155.980191457315</v>
      </c>
      <c r="H48" s="58">
        <v>22155.980191457315</v>
      </c>
      <c r="I48" s="58">
        <v>22155.980191457318</v>
      </c>
    </row>
    <row r="49" spans="1:9" ht="12" customHeight="1">
      <c r="A49" s="63" t="s">
        <v>70</v>
      </c>
      <c r="B49" s="60" t="s">
        <v>17</v>
      </c>
      <c r="C49" s="61"/>
      <c r="D49" s="58">
        <f>C47*0.01</f>
        <v>884.6240449173487</v>
      </c>
      <c r="E49" s="57"/>
      <c r="F49" s="57"/>
      <c r="G49" s="57"/>
      <c r="H49" s="57"/>
      <c r="I49" s="57"/>
    </row>
    <row r="50" spans="1:3" ht="12.75">
      <c r="A50" s="10"/>
      <c r="C50" s="12"/>
    </row>
    <row r="51" spans="4:54" ht="15" thickBot="1">
      <c r="D51" s="29" t="s">
        <v>5</v>
      </c>
      <c r="E51" s="29">
        <f aca="true" t="shared" si="7" ref="E51:AJ51">E28</f>
        <v>1</v>
      </c>
      <c r="F51" s="29">
        <f t="shared" si="7"/>
        <v>2</v>
      </c>
      <c r="G51" s="29">
        <f t="shared" si="7"/>
        <v>3</v>
      </c>
      <c r="H51" s="29">
        <f t="shared" si="7"/>
        <v>4</v>
      </c>
      <c r="I51" s="29">
        <f t="shared" si="7"/>
        <v>5</v>
      </c>
      <c r="J51" s="29">
        <f t="shared" si="7"/>
        <v>6</v>
      </c>
      <c r="K51" s="29">
        <f t="shared" si="7"/>
        <v>7</v>
      </c>
      <c r="L51" s="29">
        <f t="shared" si="7"/>
        <v>8</v>
      </c>
      <c r="M51" s="29">
        <f t="shared" si="7"/>
        <v>9</v>
      </c>
      <c r="N51" s="29">
        <f t="shared" si="7"/>
        <v>10</v>
      </c>
      <c r="O51" s="29">
        <f t="shared" si="7"/>
        <v>11</v>
      </c>
      <c r="P51" s="29">
        <f t="shared" si="7"/>
        <v>12</v>
      </c>
      <c r="Q51" s="29">
        <f t="shared" si="7"/>
        <v>13</v>
      </c>
      <c r="R51" s="29">
        <f t="shared" si="7"/>
        <v>14</v>
      </c>
      <c r="S51" s="29">
        <f t="shared" si="7"/>
        <v>15</v>
      </c>
      <c r="T51" s="29">
        <f t="shared" si="7"/>
        <v>16</v>
      </c>
      <c r="U51" s="29">
        <f t="shared" si="7"/>
        <v>17</v>
      </c>
      <c r="V51" s="29">
        <f t="shared" si="7"/>
        <v>18</v>
      </c>
      <c r="W51" s="29">
        <f t="shared" si="7"/>
        <v>19</v>
      </c>
      <c r="X51" s="29">
        <f t="shared" si="7"/>
        <v>20</v>
      </c>
      <c r="Y51" s="29">
        <f t="shared" si="7"/>
      </c>
      <c r="Z51" s="29">
        <f t="shared" si="7"/>
      </c>
      <c r="AA51" s="29">
        <f t="shared" si="7"/>
      </c>
      <c r="AB51" s="29">
        <f t="shared" si="7"/>
      </c>
      <c r="AC51" s="29">
        <f t="shared" si="7"/>
      </c>
      <c r="AD51" s="29">
        <f t="shared" si="7"/>
      </c>
      <c r="AE51" s="29">
        <f t="shared" si="7"/>
      </c>
      <c r="AF51" s="29">
        <f t="shared" si="7"/>
      </c>
      <c r="AG51" s="29">
        <f t="shared" si="7"/>
      </c>
      <c r="AH51" s="29">
        <f t="shared" si="7"/>
      </c>
      <c r="AI51" s="29">
        <f t="shared" si="7"/>
      </c>
      <c r="AJ51" s="29">
        <f t="shared" si="7"/>
      </c>
      <c r="AK51" s="29">
        <f aca="true" t="shared" si="8" ref="AK51:BB51">AK28</f>
      </c>
      <c r="AL51" s="29">
        <f t="shared" si="8"/>
      </c>
      <c r="AM51" s="29">
        <f t="shared" si="8"/>
      </c>
      <c r="AN51" s="29">
        <f t="shared" si="8"/>
      </c>
      <c r="AO51" s="29">
        <f t="shared" si="8"/>
      </c>
      <c r="AP51" s="29">
        <f t="shared" si="8"/>
      </c>
      <c r="AQ51" s="29">
        <f t="shared" si="8"/>
      </c>
      <c r="AR51" s="29">
        <f t="shared" si="8"/>
      </c>
      <c r="AS51" s="29">
        <f t="shared" si="8"/>
      </c>
      <c r="AT51" s="29">
        <f t="shared" si="8"/>
      </c>
      <c r="AU51" s="29">
        <f t="shared" si="8"/>
      </c>
      <c r="AV51" s="29">
        <f t="shared" si="8"/>
      </c>
      <c r="AW51" s="29">
        <f t="shared" si="8"/>
      </c>
      <c r="AX51" s="29">
        <f t="shared" si="8"/>
      </c>
      <c r="AY51" s="29">
        <f t="shared" si="8"/>
      </c>
      <c r="AZ51" s="29">
        <f t="shared" si="8"/>
      </c>
      <c r="BA51" s="29">
        <f t="shared" si="8"/>
      </c>
      <c r="BB51" s="29">
        <f t="shared" si="8"/>
      </c>
    </row>
    <row r="52" spans="1:54" ht="19.5" thickBot="1">
      <c r="A52" s="26" t="s">
        <v>15</v>
      </c>
      <c r="B52" s="22" t="s">
        <v>17</v>
      </c>
      <c r="C52" s="16">
        <f>SUM(E52:BB52)</f>
        <v>-318966.67272220174</v>
      </c>
      <c r="D52" s="2"/>
      <c r="E52" s="27">
        <f aca="true" t="shared" si="9" ref="E52:AJ52">E53*E26</f>
        <v>-30080.981627525234</v>
      </c>
      <c r="F52" s="27">
        <f t="shared" si="9"/>
        <v>-27852.760766227064</v>
      </c>
      <c r="G52" s="27">
        <f t="shared" si="9"/>
        <v>-25789.593302062094</v>
      </c>
      <c r="H52" s="27">
        <f t="shared" si="9"/>
        <v>-23879.253057464903</v>
      </c>
      <c r="I52" s="27">
        <f t="shared" si="9"/>
        <v>-22110.419497652685</v>
      </c>
      <c r="J52" s="27">
        <f t="shared" si="9"/>
        <v>-20472.61064597471</v>
      </c>
      <c r="K52" s="27">
        <f t="shared" si="9"/>
        <v>-18956.1209684951</v>
      </c>
      <c r="L52" s="27">
        <f t="shared" si="9"/>
        <v>-17551.96385971768</v>
      </c>
      <c r="M52" s="27">
        <f t="shared" si="9"/>
        <v>-16251.81838862748</v>
      </c>
      <c r="N52" s="27">
        <f t="shared" si="9"/>
        <v>-15047.979989469888</v>
      </c>
      <c r="O52" s="27">
        <f t="shared" si="9"/>
        <v>-13933.31480506471</v>
      </c>
      <c r="P52" s="27">
        <f t="shared" si="9"/>
        <v>-12901.217412096952</v>
      </c>
      <c r="Q52" s="27">
        <f t="shared" si="9"/>
        <v>-11945.571677867549</v>
      </c>
      <c r="R52" s="27">
        <f t="shared" si="9"/>
        <v>-11060.714516544027</v>
      </c>
      <c r="S52" s="27">
        <f t="shared" si="9"/>
        <v>-10241.402330133358</v>
      </c>
      <c r="T52" s="27">
        <f t="shared" si="9"/>
        <v>-9482.779935308663</v>
      </c>
      <c r="U52" s="27">
        <f t="shared" si="9"/>
        <v>-8780.351791952466</v>
      </c>
      <c r="V52" s="27">
        <f t="shared" si="9"/>
        <v>-8129.955362918948</v>
      </c>
      <c r="W52" s="27">
        <f t="shared" si="9"/>
        <v>-7527.736447147174</v>
      </c>
      <c r="X52" s="27">
        <f t="shared" si="9"/>
        <v>-6970.126339951086</v>
      </c>
      <c r="Y52" s="27">
        <f t="shared" si="9"/>
        <v>0</v>
      </c>
      <c r="Z52" s="27">
        <f t="shared" si="9"/>
        <v>0</v>
      </c>
      <c r="AA52" s="27">
        <f t="shared" si="9"/>
        <v>0</v>
      </c>
      <c r="AB52" s="27">
        <f t="shared" si="9"/>
        <v>0</v>
      </c>
      <c r="AC52" s="27">
        <f t="shared" si="9"/>
        <v>0</v>
      </c>
      <c r="AD52" s="27">
        <f t="shared" si="9"/>
        <v>0</v>
      </c>
      <c r="AE52" s="27">
        <f t="shared" si="9"/>
        <v>0</v>
      </c>
      <c r="AF52" s="27">
        <f t="shared" si="9"/>
        <v>0</v>
      </c>
      <c r="AG52" s="27">
        <f t="shared" si="9"/>
        <v>0</v>
      </c>
      <c r="AH52" s="27">
        <f t="shared" si="9"/>
        <v>0</v>
      </c>
      <c r="AI52" s="27">
        <f t="shared" si="9"/>
        <v>0</v>
      </c>
      <c r="AJ52" s="27">
        <f t="shared" si="9"/>
        <v>0</v>
      </c>
      <c r="AK52" s="27">
        <f aca="true" t="shared" si="10" ref="AK52:BB52">AK53*AK26</f>
        <v>0</v>
      </c>
      <c r="AL52" s="27">
        <f t="shared" si="10"/>
        <v>0</v>
      </c>
      <c r="AM52" s="27">
        <f t="shared" si="10"/>
        <v>0</v>
      </c>
      <c r="AN52" s="27">
        <f t="shared" si="10"/>
        <v>0</v>
      </c>
      <c r="AO52" s="27">
        <f t="shared" si="10"/>
        <v>0</v>
      </c>
      <c r="AP52" s="27">
        <f t="shared" si="10"/>
        <v>0</v>
      </c>
      <c r="AQ52" s="27">
        <f t="shared" si="10"/>
        <v>0</v>
      </c>
      <c r="AR52" s="27">
        <f t="shared" si="10"/>
        <v>0</v>
      </c>
      <c r="AS52" s="27">
        <f t="shared" si="10"/>
        <v>0</v>
      </c>
      <c r="AT52" s="27">
        <f t="shared" si="10"/>
        <v>0</v>
      </c>
      <c r="AU52" s="27">
        <f t="shared" si="10"/>
        <v>0</v>
      </c>
      <c r="AV52" s="27">
        <f t="shared" si="10"/>
        <v>0</v>
      </c>
      <c r="AW52" s="27">
        <f t="shared" si="10"/>
        <v>0</v>
      </c>
      <c r="AX52" s="27">
        <f t="shared" si="10"/>
        <v>0</v>
      </c>
      <c r="AY52" s="27">
        <f t="shared" si="10"/>
        <v>0</v>
      </c>
      <c r="AZ52" s="27">
        <f t="shared" si="10"/>
        <v>0</v>
      </c>
      <c r="BA52" s="27">
        <f t="shared" si="10"/>
        <v>0</v>
      </c>
      <c r="BB52" s="27">
        <f t="shared" si="10"/>
        <v>0</v>
      </c>
    </row>
    <row r="53" spans="1:54" ht="15.75" thickBot="1">
      <c r="A53" s="30" t="s">
        <v>24</v>
      </c>
      <c r="B53" s="8" t="s">
        <v>17</v>
      </c>
      <c r="C53" s="16">
        <f>SUM(E53:BB53)</f>
        <v>-649749.2031545449</v>
      </c>
      <c r="E53" s="31">
        <f aca="true" t="shared" si="11" ref="E53:X53">E58-E68</f>
        <v>-32487.460157727255</v>
      </c>
      <c r="F53" s="31">
        <f t="shared" si="11"/>
        <v>-32487.460157727255</v>
      </c>
      <c r="G53" s="31">
        <f t="shared" si="11"/>
        <v>-32487.460157727255</v>
      </c>
      <c r="H53" s="31">
        <f t="shared" si="11"/>
        <v>-32487.460157727255</v>
      </c>
      <c r="I53" s="31">
        <f t="shared" si="11"/>
        <v>-32487.460157727255</v>
      </c>
      <c r="J53" s="31">
        <f t="shared" si="11"/>
        <v>-32487.460157727255</v>
      </c>
      <c r="K53" s="31">
        <f t="shared" si="11"/>
        <v>-32487.460157727255</v>
      </c>
      <c r="L53" s="31">
        <f t="shared" si="11"/>
        <v>-32487.460157727255</v>
      </c>
      <c r="M53" s="31">
        <f t="shared" si="11"/>
        <v>-32487.460157727255</v>
      </c>
      <c r="N53" s="31">
        <f t="shared" si="11"/>
        <v>-32487.460157727255</v>
      </c>
      <c r="O53" s="31">
        <f t="shared" si="11"/>
        <v>-32487.460157727255</v>
      </c>
      <c r="P53" s="31">
        <f t="shared" si="11"/>
        <v>-32487.460157727255</v>
      </c>
      <c r="Q53" s="31">
        <f t="shared" si="11"/>
        <v>-32487.460157727255</v>
      </c>
      <c r="R53" s="31">
        <f t="shared" si="11"/>
        <v>-32487.460157727255</v>
      </c>
      <c r="S53" s="31">
        <f t="shared" si="11"/>
        <v>-32487.460157727255</v>
      </c>
      <c r="T53" s="31">
        <f t="shared" si="11"/>
        <v>-32487.460157727255</v>
      </c>
      <c r="U53" s="31">
        <f t="shared" si="11"/>
        <v>-32487.460157727255</v>
      </c>
      <c r="V53" s="31">
        <f t="shared" si="11"/>
        <v>-32487.460157727255</v>
      </c>
      <c r="W53" s="31">
        <f t="shared" si="11"/>
        <v>-32487.460157727255</v>
      </c>
      <c r="X53" s="31">
        <f t="shared" si="11"/>
        <v>-32487.460157727255</v>
      </c>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ht="12.75">
      <c r="A54" s="13" t="s">
        <v>13</v>
      </c>
    </row>
    <row r="56" ht="12.75">
      <c r="A56" s="13" t="s">
        <v>14</v>
      </c>
    </row>
    <row r="57" spans="1:3" ht="12.75">
      <c r="A57" s="43" t="s">
        <v>44</v>
      </c>
      <c r="B57" s="47" t="s">
        <v>43</v>
      </c>
      <c r="C57" s="49">
        <f>C66/E15</f>
        <v>290.928</v>
      </c>
    </row>
    <row r="58" spans="1:24" ht="12.75">
      <c r="A58" s="43" t="s">
        <v>45</v>
      </c>
      <c r="B58" s="47" t="s">
        <v>46</v>
      </c>
      <c r="C58" s="49">
        <f>C57*E14/100</f>
        <v>105.897792</v>
      </c>
      <c r="E58">
        <f>C58*1000</f>
        <v>105897.792</v>
      </c>
      <c r="F58">
        <f aca="true" t="shared" si="12" ref="F58:X58">E58</f>
        <v>105897.792</v>
      </c>
      <c r="G58">
        <f t="shared" si="12"/>
        <v>105897.792</v>
      </c>
      <c r="H58">
        <f t="shared" si="12"/>
        <v>105897.792</v>
      </c>
      <c r="I58">
        <f t="shared" si="12"/>
        <v>105897.792</v>
      </c>
      <c r="J58">
        <f t="shared" si="12"/>
        <v>105897.792</v>
      </c>
      <c r="K58">
        <f t="shared" si="12"/>
        <v>105897.792</v>
      </c>
      <c r="L58">
        <f t="shared" si="12"/>
        <v>105897.792</v>
      </c>
      <c r="M58">
        <f t="shared" si="12"/>
        <v>105897.792</v>
      </c>
      <c r="N58">
        <f t="shared" si="12"/>
        <v>105897.792</v>
      </c>
      <c r="O58">
        <f t="shared" si="12"/>
        <v>105897.792</v>
      </c>
      <c r="P58">
        <f t="shared" si="12"/>
        <v>105897.792</v>
      </c>
      <c r="Q58">
        <f t="shared" si="12"/>
        <v>105897.792</v>
      </c>
      <c r="R58">
        <f t="shared" si="12"/>
        <v>105897.792</v>
      </c>
      <c r="S58">
        <f t="shared" si="12"/>
        <v>105897.792</v>
      </c>
      <c r="T58">
        <f t="shared" si="12"/>
        <v>105897.792</v>
      </c>
      <c r="U58">
        <f t="shared" si="12"/>
        <v>105897.792</v>
      </c>
      <c r="V58">
        <f t="shared" si="12"/>
        <v>105897.792</v>
      </c>
      <c r="W58">
        <f t="shared" si="12"/>
        <v>105897.792</v>
      </c>
      <c r="X58">
        <f t="shared" si="12"/>
        <v>105897.792</v>
      </c>
    </row>
    <row r="59" ht="12.75">
      <c r="B59" s="8"/>
    </row>
    <row r="60" spans="1:2" ht="12.75">
      <c r="A60" s="13" t="s">
        <v>18</v>
      </c>
      <c r="B60" s="8"/>
    </row>
    <row r="61" ht="12.75">
      <c r="B61" s="8"/>
    </row>
    <row r="62" ht="12.75">
      <c r="B62" s="8"/>
    </row>
    <row r="63" spans="1:2" ht="12.75">
      <c r="A63" s="13" t="s">
        <v>16</v>
      </c>
      <c r="B63" s="8"/>
    </row>
    <row r="64" spans="1:2" ht="12.75">
      <c r="A64" s="6"/>
      <c r="B64" s="8"/>
    </row>
    <row r="65" spans="1:2" ht="12.75">
      <c r="A65" s="54" t="s">
        <v>40</v>
      </c>
      <c r="B65" s="8"/>
    </row>
    <row r="66" spans="1:3" ht="12.75">
      <c r="A66" s="43" t="s">
        <v>42</v>
      </c>
      <c r="B66" s="47" t="s">
        <v>43</v>
      </c>
      <c r="C66" s="49">
        <f>(44*3*E16*24+44*1.5*E17*24)/1000</f>
        <v>872.784</v>
      </c>
    </row>
    <row r="67" spans="1:3" ht="12.75">
      <c r="A67" s="43" t="s">
        <v>47</v>
      </c>
      <c r="B67" s="47" t="s">
        <v>48</v>
      </c>
      <c r="C67" s="49">
        <f>C66/(E18/100)*859845/E19/1000</f>
        <v>77.5267519090909</v>
      </c>
    </row>
    <row r="68" spans="1:24" ht="12.75">
      <c r="A68" s="43" t="s">
        <v>52</v>
      </c>
      <c r="B68" s="46" t="s">
        <v>46</v>
      </c>
      <c r="C68" s="49">
        <f>C67*E20/1000</f>
        <v>138.38525215772725</v>
      </c>
      <c r="E68">
        <f>C68*1000</f>
        <v>138385.25215772726</v>
      </c>
      <c r="F68">
        <f aca="true" t="shared" si="13" ref="F68:X68">E68</f>
        <v>138385.25215772726</v>
      </c>
      <c r="G68">
        <f t="shared" si="13"/>
        <v>138385.25215772726</v>
      </c>
      <c r="H68">
        <f t="shared" si="13"/>
        <v>138385.25215772726</v>
      </c>
      <c r="I68">
        <f t="shared" si="13"/>
        <v>138385.25215772726</v>
      </c>
      <c r="J68">
        <f t="shared" si="13"/>
        <v>138385.25215772726</v>
      </c>
      <c r="K68">
        <f t="shared" si="13"/>
        <v>138385.25215772726</v>
      </c>
      <c r="L68">
        <f t="shared" si="13"/>
        <v>138385.25215772726</v>
      </c>
      <c r="M68">
        <f t="shared" si="13"/>
        <v>138385.25215772726</v>
      </c>
      <c r="N68">
        <f t="shared" si="13"/>
        <v>138385.25215772726</v>
      </c>
      <c r="O68">
        <f t="shared" si="13"/>
        <v>138385.25215772726</v>
      </c>
      <c r="P68">
        <f t="shared" si="13"/>
        <v>138385.25215772726</v>
      </c>
      <c r="Q68">
        <f t="shared" si="13"/>
        <v>138385.25215772726</v>
      </c>
      <c r="R68">
        <f t="shared" si="13"/>
        <v>138385.25215772726</v>
      </c>
      <c r="S68">
        <f t="shared" si="13"/>
        <v>138385.25215772726</v>
      </c>
      <c r="T68">
        <f t="shared" si="13"/>
        <v>138385.25215772726</v>
      </c>
      <c r="U68">
        <f t="shared" si="13"/>
        <v>138385.25215772726</v>
      </c>
      <c r="V68">
        <f t="shared" si="13"/>
        <v>138385.25215772726</v>
      </c>
      <c r="W68">
        <f t="shared" si="13"/>
        <v>138385.25215772726</v>
      </c>
      <c r="X68">
        <f t="shared" si="13"/>
        <v>138385.25215772726</v>
      </c>
    </row>
    <row r="69" ht="13.5" thickBot="1"/>
    <row r="70" spans="1:3" ht="15.75" thickBot="1">
      <c r="A70" s="20" t="s">
        <v>41</v>
      </c>
      <c r="B70" s="18" t="s">
        <v>7</v>
      </c>
      <c r="C70" s="16">
        <f>C66*1000</f>
        <v>872784</v>
      </c>
    </row>
    <row r="71" spans="1:3" ht="12.75">
      <c r="A71" s="7"/>
      <c r="B71" s="8"/>
      <c r="C71" s="3"/>
    </row>
    <row r="72" spans="1:3" ht="12.75">
      <c r="A72" s="7"/>
      <c r="B72" s="8"/>
      <c r="C72" s="3"/>
    </row>
    <row r="73" spans="1:3" ht="12.75">
      <c r="A73" s="7"/>
      <c r="B73" s="8"/>
      <c r="C73" s="3"/>
    </row>
    <row r="74" spans="1:3" ht="12.75">
      <c r="A74" s="7"/>
      <c r="B74" s="8"/>
      <c r="C74" s="3"/>
    </row>
    <row r="75" ht="13.5" thickBot="1"/>
    <row r="76" spans="1:3" ht="33" thickBot="1" thickTop="1">
      <c r="A76" s="53" t="s">
        <v>58</v>
      </c>
      <c r="B76" s="38" t="s">
        <v>8</v>
      </c>
      <c r="C76" s="64">
        <f>IF(C70&gt;0,C28*100/C70*C26/100/(1-POWER(1+C26/100,-C25)),"")</f>
        <v>-2.679616944110356</v>
      </c>
    </row>
    <row r="77" ht="13.5" thickTop="1"/>
  </sheetData>
  <sheetProtection/>
  <mergeCells count="17">
    <mergeCell ref="A1:D1"/>
    <mergeCell ref="A2:D2"/>
    <mergeCell ref="A6:I6"/>
    <mergeCell ref="A7:C7"/>
    <mergeCell ref="A9:C9"/>
    <mergeCell ref="A11:C11"/>
    <mergeCell ref="A12:C12"/>
    <mergeCell ref="A13:C13"/>
    <mergeCell ref="A10:C10"/>
    <mergeCell ref="A8:C8"/>
    <mergeCell ref="A20:C20"/>
    <mergeCell ref="A18:C18"/>
    <mergeCell ref="A19:C19"/>
    <mergeCell ref="A14:C14"/>
    <mergeCell ref="A15:C15"/>
    <mergeCell ref="A16:C16"/>
    <mergeCell ref="A17:C17"/>
  </mergeCells>
  <printOptions gridLines="1"/>
  <pageMargins left="0.89" right="0.42" top="1" bottom="0.85" header="0.5" footer="0.5"/>
  <pageSetup fitToHeight="1" fitToWidth="1" horizontalDpi="200" verticalDpi="200" orientation="portrait" paperSize="9" scale="5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51">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5" t="s">
        <v>26</v>
      </c>
      <c r="B1" s="76"/>
      <c r="C1" s="77"/>
      <c r="D1" s="77"/>
      <c r="E1" s="2"/>
    </row>
    <row r="2" spans="1:5" ht="24" customHeight="1">
      <c r="A2" s="78" t="s">
        <v>57</v>
      </c>
      <c r="B2" s="77"/>
      <c r="C2" s="77"/>
      <c r="D2" s="77"/>
      <c r="E2" s="2"/>
    </row>
    <row r="3" spans="1:5" ht="24" customHeight="1">
      <c r="A3" s="56" t="s">
        <v>65</v>
      </c>
      <c r="B3" s="55"/>
      <c r="C3" s="55"/>
      <c r="D3" s="55"/>
      <c r="E3" s="2"/>
    </row>
    <row r="4" spans="1:5" ht="12" customHeight="1">
      <c r="A4" s="5"/>
      <c r="B4" s="2"/>
      <c r="C4" s="2"/>
      <c r="D4" s="2"/>
      <c r="E4" s="2"/>
    </row>
    <row r="5" spans="1:5" ht="12" customHeight="1" thickBot="1">
      <c r="A5" s="25" t="s">
        <v>4</v>
      </c>
      <c r="B5" s="2"/>
      <c r="C5" s="2"/>
      <c r="D5" s="2"/>
      <c r="E5" s="2"/>
    </row>
    <row r="6" spans="1:9" ht="132.75" customHeight="1" thickBot="1">
      <c r="A6" s="79" t="s">
        <v>59</v>
      </c>
      <c r="B6" s="80"/>
      <c r="C6" s="80"/>
      <c r="D6" s="80"/>
      <c r="E6" s="80"/>
      <c r="F6" s="80"/>
      <c r="G6" s="80"/>
      <c r="H6" s="80"/>
      <c r="I6" s="81"/>
    </row>
    <row r="7" spans="1:9" ht="15" customHeight="1" thickBot="1">
      <c r="A7" s="82" t="s">
        <v>25</v>
      </c>
      <c r="B7" s="83"/>
      <c r="C7" s="84"/>
      <c r="D7" s="36" t="s">
        <v>1</v>
      </c>
      <c r="E7" s="33"/>
      <c r="F7" s="33"/>
      <c r="G7" s="33"/>
      <c r="H7" s="33"/>
      <c r="I7" s="33"/>
    </row>
    <row r="8" spans="1:9" ht="15" customHeight="1" thickTop="1">
      <c r="A8" s="72" t="s">
        <v>28</v>
      </c>
      <c r="B8" s="73"/>
      <c r="C8" s="74"/>
      <c r="D8" s="34" t="s">
        <v>27</v>
      </c>
      <c r="E8" s="42">
        <v>143.6</v>
      </c>
      <c r="F8" s="33"/>
      <c r="G8" s="33"/>
      <c r="H8" s="33"/>
      <c r="I8" s="33"/>
    </row>
    <row r="9" spans="1:9" ht="15" customHeight="1">
      <c r="A9" s="68" t="s">
        <v>29</v>
      </c>
      <c r="B9" s="69"/>
      <c r="C9" s="70"/>
      <c r="D9" s="34" t="s">
        <v>27</v>
      </c>
      <c r="E9" s="42">
        <v>25</v>
      </c>
      <c r="F9" s="33"/>
      <c r="G9" s="33"/>
      <c r="H9" s="33"/>
      <c r="I9" s="33"/>
    </row>
    <row r="10" spans="1:9" ht="15" customHeight="1">
      <c r="A10" s="68" t="s">
        <v>55</v>
      </c>
      <c r="B10" s="71"/>
      <c r="C10" s="70"/>
      <c r="D10" s="34" t="s">
        <v>56</v>
      </c>
      <c r="E10" s="51">
        <v>20</v>
      </c>
      <c r="F10" s="33"/>
      <c r="G10" s="33"/>
      <c r="H10" s="33"/>
      <c r="I10" s="33"/>
    </row>
    <row r="11" spans="1:9" ht="15" customHeight="1">
      <c r="A11" s="68" t="s">
        <v>30</v>
      </c>
      <c r="B11" s="69"/>
      <c r="C11" s="70"/>
      <c r="D11" s="34" t="s">
        <v>27</v>
      </c>
      <c r="E11" s="42">
        <v>216</v>
      </c>
      <c r="F11" s="33"/>
      <c r="G11" s="33"/>
      <c r="H11" s="33"/>
      <c r="I11" s="33"/>
    </row>
    <row r="12" spans="1:9" ht="15" customHeight="1">
      <c r="A12" s="68" t="s">
        <v>31</v>
      </c>
      <c r="B12" s="69"/>
      <c r="C12" s="70"/>
      <c r="D12" s="34" t="s">
        <v>27</v>
      </c>
      <c r="E12" s="42">
        <v>80</v>
      </c>
      <c r="F12" s="33"/>
      <c r="G12" s="33"/>
      <c r="H12" s="33"/>
      <c r="I12" s="33"/>
    </row>
    <row r="13" spans="1:9" ht="15" customHeight="1">
      <c r="A13" s="68" t="s">
        <v>32</v>
      </c>
      <c r="B13" s="69"/>
      <c r="C13" s="70"/>
      <c r="D13" s="34" t="s">
        <v>27</v>
      </c>
      <c r="E13" s="42">
        <v>30</v>
      </c>
      <c r="F13" s="33"/>
      <c r="G13" s="33"/>
      <c r="H13" s="33"/>
      <c r="I13" s="33"/>
    </row>
    <row r="14" spans="1:9" ht="15" customHeight="1">
      <c r="A14" s="68" t="s">
        <v>33</v>
      </c>
      <c r="B14" s="69"/>
      <c r="C14" s="70"/>
      <c r="D14" s="34" t="s">
        <v>8</v>
      </c>
      <c r="E14" s="42">
        <v>36.4</v>
      </c>
      <c r="F14" s="33"/>
      <c r="G14" s="33"/>
      <c r="H14" s="33"/>
      <c r="I14" s="33"/>
    </row>
    <row r="15" spans="1:9" ht="15" customHeight="1">
      <c r="A15" s="68" t="s">
        <v>34</v>
      </c>
      <c r="B15" s="69"/>
      <c r="C15" s="70"/>
      <c r="D15" s="33"/>
      <c r="E15" s="42">
        <v>3</v>
      </c>
      <c r="F15" s="33"/>
      <c r="G15" s="33"/>
      <c r="H15" s="33"/>
      <c r="I15" s="33"/>
    </row>
    <row r="16" spans="1:9" ht="15" customHeight="1">
      <c r="A16" s="68" t="s">
        <v>37</v>
      </c>
      <c r="B16" s="69"/>
      <c r="C16" s="70"/>
      <c r="D16" s="34" t="s">
        <v>39</v>
      </c>
      <c r="E16" s="42">
        <v>186</v>
      </c>
      <c r="F16" s="33"/>
      <c r="G16" s="33"/>
      <c r="H16" s="33"/>
      <c r="I16" s="33"/>
    </row>
    <row r="17" spans="1:9" ht="15" customHeight="1">
      <c r="A17" s="68" t="s">
        <v>38</v>
      </c>
      <c r="B17" s="69"/>
      <c r="C17" s="70"/>
      <c r="D17" s="34" t="s">
        <v>39</v>
      </c>
      <c r="E17" s="42">
        <v>179</v>
      </c>
      <c r="F17" s="33"/>
      <c r="G17" s="33"/>
      <c r="H17" s="33"/>
      <c r="I17" s="33"/>
    </row>
    <row r="18" spans="1:9" ht="15" customHeight="1">
      <c r="A18" s="68" t="s">
        <v>49</v>
      </c>
      <c r="B18" s="69"/>
      <c r="C18" s="70"/>
      <c r="D18" s="34" t="s">
        <v>3</v>
      </c>
      <c r="E18" s="42">
        <v>88</v>
      </c>
      <c r="F18" s="42"/>
      <c r="G18" s="33"/>
      <c r="H18" s="33"/>
      <c r="I18" s="33"/>
    </row>
    <row r="19" spans="1:9" ht="15" customHeight="1">
      <c r="A19" s="68" t="s">
        <v>50</v>
      </c>
      <c r="B19" s="69"/>
      <c r="C19" s="70"/>
      <c r="D19" s="34" t="s">
        <v>51</v>
      </c>
      <c r="E19" s="42">
        <v>11000</v>
      </c>
      <c r="F19" s="42"/>
      <c r="G19" s="33"/>
      <c r="H19" s="33"/>
      <c r="I19" s="33"/>
    </row>
    <row r="20" spans="1:9" ht="15" customHeight="1" thickBot="1">
      <c r="A20" s="65" t="s">
        <v>53</v>
      </c>
      <c r="B20" s="66"/>
      <c r="C20" s="67"/>
      <c r="D20" s="34" t="s">
        <v>54</v>
      </c>
      <c r="E20" s="42">
        <v>1785</v>
      </c>
      <c r="F20" s="33"/>
      <c r="G20" s="33"/>
      <c r="H20" s="33"/>
      <c r="I20" s="33"/>
    </row>
    <row r="21" spans="1:9" ht="15" customHeight="1">
      <c r="A21" s="32"/>
      <c r="B21" s="37"/>
      <c r="C21" s="37"/>
      <c r="D21" s="33"/>
      <c r="E21" s="33"/>
      <c r="F21" s="33"/>
      <c r="G21" s="33"/>
      <c r="H21" s="33"/>
      <c r="I21" s="33"/>
    </row>
    <row r="22" spans="1:9" ht="15" customHeight="1">
      <c r="A22" s="32"/>
      <c r="B22" s="33"/>
      <c r="C22" s="33"/>
      <c r="D22" s="33"/>
      <c r="E22" s="33"/>
      <c r="F22" s="33"/>
      <c r="G22" s="33"/>
      <c r="H22" s="33"/>
      <c r="I22" s="33"/>
    </row>
    <row r="23" spans="1:5" ht="15" customHeight="1" thickBot="1">
      <c r="A23" s="1"/>
      <c r="B23" s="2"/>
      <c r="C23" s="2"/>
      <c r="D23" s="2"/>
      <c r="E23" s="2"/>
    </row>
    <row r="24" spans="1:3" ht="14.25" thickBot="1" thickTop="1">
      <c r="A24" s="35" t="s">
        <v>0</v>
      </c>
      <c r="B24" s="4" t="s">
        <v>1</v>
      </c>
      <c r="C24" s="3"/>
    </row>
    <row r="25" spans="1:3" ht="25.5" customHeight="1" thickTop="1">
      <c r="A25" s="19" t="s">
        <v>21</v>
      </c>
      <c r="B25" s="39" t="s">
        <v>6</v>
      </c>
      <c r="C25" s="40">
        <f>E10</f>
        <v>20</v>
      </c>
    </row>
    <row r="26" spans="1:54" ht="15" thickBot="1">
      <c r="A26" s="17" t="s">
        <v>2</v>
      </c>
      <c r="B26" s="39" t="s">
        <v>3</v>
      </c>
      <c r="C26" s="41">
        <v>8</v>
      </c>
      <c r="D26" s="15">
        <v>1</v>
      </c>
      <c r="E26" s="15">
        <f>1/(1+C26/100)</f>
        <v>0.9259259259259258</v>
      </c>
      <c r="F26" s="15">
        <f>E26/(1+$C26/100)</f>
        <v>0.8573388203017831</v>
      </c>
      <c r="G26" s="15">
        <f>F26/(1+$C26/100)</f>
        <v>0.7938322410201695</v>
      </c>
      <c r="H26" s="15">
        <f aca="true" t="shared" si="0" ref="H26:BB26">G26/(1+$C26/100)</f>
        <v>0.7350298527964532</v>
      </c>
      <c r="I26" s="15">
        <f>H26/(1+$C26/100)</f>
        <v>0.6805831970337529</v>
      </c>
      <c r="J26" s="15">
        <f t="shared" si="0"/>
        <v>0.6301696268831045</v>
      </c>
      <c r="K26" s="15">
        <f>J26/(1+$C26/100)</f>
        <v>0.5834903952621338</v>
      </c>
      <c r="L26" s="15">
        <f t="shared" si="0"/>
        <v>0.5402688845019756</v>
      </c>
      <c r="M26" s="15">
        <f t="shared" si="0"/>
        <v>0.5002489671314588</v>
      </c>
      <c r="N26" s="15">
        <f t="shared" si="0"/>
        <v>0.4631934880846841</v>
      </c>
      <c r="O26" s="15">
        <f t="shared" si="0"/>
        <v>0.4288828593376704</v>
      </c>
      <c r="P26" s="15">
        <f t="shared" si="0"/>
        <v>0.3971137586459911</v>
      </c>
      <c r="Q26" s="15">
        <f t="shared" si="0"/>
        <v>0.36769792467221396</v>
      </c>
      <c r="R26" s="15">
        <f t="shared" si="0"/>
        <v>0.3404610413631611</v>
      </c>
      <c r="S26" s="15">
        <f t="shared" si="0"/>
        <v>0.3152417049658899</v>
      </c>
      <c r="T26" s="15">
        <f t="shared" si="0"/>
        <v>0.2918904675610091</v>
      </c>
      <c r="U26" s="15">
        <f t="shared" si="0"/>
        <v>0.27026895144537877</v>
      </c>
      <c r="V26" s="15">
        <f t="shared" si="0"/>
        <v>0.2502490291160914</v>
      </c>
      <c r="W26" s="15">
        <f t="shared" si="0"/>
        <v>0.23171206399638095</v>
      </c>
      <c r="X26" s="15">
        <f t="shared" si="0"/>
        <v>0.21454820740405642</v>
      </c>
      <c r="Y26" s="15">
        <f t="shared" si="0"/>
        <v>0.19865574759634852</v>
      </c>
      <c r="Z26" s="15">
        <f t="shared" si="0"/>
        <v>0.18394050703365603</v>
      </c>
      <c r="AA26" s="15">
        <f t="shared" si="0"/>
        <v>0.17031528429042223</v>
      </c>
      <c r="AB26" s="15">
        <f t="shared" si="0"/>
        <v>0.15769933730594649</v>
      </c>
      <c r="AC26" s="15">
        <f t="shared" si="0"/>
        <v>0.14601790491291342</v>
      </c>
      <c r="AD26" s="15">
        <f t="shared" si="0"/>
        <v>0.13520176380825316</v>
      </c>
      <c r="AE26" s="15">
        <f t="shared" si="0"/>
        <v>0.12518681834097514</v>
      </c>
      <c r="AF26" s="15">
        <f t="shared" si="0"/>
        <v>0.11591372068608809</v>
      </c>
      <c r="AG26" s="15">
        <f t="shared" si="0"/>
        <v>0.10732751915378526</v>
      </c>
      <c r="AH26" s="15">
        <f t="shared" si="0"/>
        <v>0.09937733254980116</v>
      </c>
      <c r="AI26" s="15">
        <f t="shared" si="0"/>
        <v>0.09201604865722329</v>
      </c>
      <c r="AJ26" s="15">
        <f t="shared" si="0"/>
        <v>0.08520004505298452</v>
      </c>
      <c r="AK26" s="15">
        <f t="shared" si="0"/>
        <v>0.0788889306046153</v>
      </c>
      <c r="AL26" s="15">
        <f t="shared" si="0"/>
        <v>0.07304530611538453</v>
      </c>
      <c r="AM26" s="15">
        <f t="shared" si="0"/>
        <v>0.06763454269943012</v>
      </c>
      <c r="AN26" s="15">
        <f t="shared" si="0"/>
        <v>0.0626245765735464</v>
      </c>
      <c r="AO26" s="15">
        <f t="shared" si="0"/>
        <v>0.057985719049580005</v>
      </c>
      <c r="AP26" s="15">
        <f t="shared" si="0"/>
        <v>0.05369048060146296</v>
      </c>
      <c r="AQ26" s="15">
        <f t="shared" si="0"/>
        <v>0.04971340796431755</v>
      </c>
      <c r="AR26" s="15">
        <f t="shared" si="0"/>
        <v>0.04603093330029402</v>
      </c>
      <c r="AS26" s="15">
        <f t="shared" si="0"/>
        <v>0.042621234537309274</v>
      </c>
      <c r="AT26" s="15">
        <f t="shared" si="0"/>
        <v>0.03946410605306414</v>
      </c>
      <c r="AU26" s="15">
        <f t="shared" si="0"/>
        <v>0.03654083893802235</v>
      </c>
      <c r="AV26" s="15">
        <f t="shared" si="0"/>
        <v>0.033834110127798474</v>
      </c>
      <c r="AW26" s="15">
        <f t="shared" si="0"/>
        <v>0.03132787974796155</v>
      </c>
      <c r="AX26" s="15">
        <f t="shared" si="0"/>
        <v>0.02900729606292736</v>
      </c>
      <c r="AY26" s="15">
        <f t="shared" si="0"/>
        <v>0.02685860746567348</v>
      </c>
      <c r="AZ26" s="15">
        <f t="shared" si="0"/>
        <v>0.0248690809867347</v>
      </c>
      <c r="BA26" s="15">
        <f t="shared" si="0"/>
        <v>0.023026926839569164</v>
      </c>
      <c r="BB26" s="15">
        <f t="shared" si="0"/>
        <v>0.02132122855515663</v>
      </c>
    </row>
    <row r="27" ht="15" thickBot="1">
      <c r="D27" s="29" t="s">
        <v>5</v>
      </c>
    </row>
    <row r="28" spans="1:54" ht="15.75" thickBot="1">
      <c r="A28" s="20" t="s">
        <v>20</v>
      </c>
      <c r="B28" s="18" t="s">
        <v>17</v>
      </c>
      <c r="C28" s="16">
        <f>C29+C52</f>
        <v>-223478.84559236016</v>
      </c>
      <c r="D28" s="29">
        <v>0</v>
      </c>
      <c r="E28" s="29">
        <f>IF(D28&lt;$C25,D28+1,"")</f>
        <v>1</v>
      </c>
      <c r="F28" s="29">
        <f aca="true" t="shared" si="1" ref="F28:BB28">IF(E28&lt;$C25,E28+1,"")</f>
        <v>2</v>
      </c>
      <c r="G28" s="29">
        <f t="shared" si="1"/>
        <v>3</v>
      </c>
      <c r="H28" s="29">
        <f t="shared" si="1"/>
        <v>4</v>
      </c>
      <c r="I28" s="29">
        <f t="shared" si="1"/>
        <v>5</v>
      </c>
      <c r="J28" s="29">
        <f t="shared" si="1"/>
        <v>6</v>
      </c>
      <c r="K28" s="29">
        <f t="shared" si="1"/>
        <v>7</v>
      </c>
      <c r="L28" s="29">
        <f t="shared" si="1"/>
        <v>8</v>
      </c>
      <c r="M28" s="29">
        <f t="shared" si="1"/>
        <v>9</v>
      </c>
      <c r="N28" s="29">
        <f t="shared" si="1"/>
        <v>10</v>
      </c>
      <c r="O28" s="29">
        <f t="shared" si="1"/>
        <v>11</v>
      </c>
      <c r="P28" s="29">
        <f t="shared" si="1"/>
        <v>12</v>
      </c>
      <c r="Q28" s="29">
        <f t="shared" si="1"/>
        <v>13</v>
      </c>
      <c r="R28" s="29">
        <f t="shared" si="1"/>
        <v>14</v>
      </c>
      <c r="S28" s="29">
        <f t="shared" si="1"/>
        <v>15</v>
      </c>
      <c r="T28" s="29">
        <f t="shared" si="1"/>
        <v>16</v>
      </c>
      <c r="U28" s="29">
        <f t="shared" si="1"/>
        <v>17</v>
      </c>
      <c r="V28" s="29">
        <f t="shared" si="1"/>
        <v>18</v>
      </c>
      <c r="W28" s="29">
        <f t="shared" si="1"/>
        <v>19</v>
      </c>
      <c r="X28" s="29">
        <f t="shared" si="1"/>
        <v>20</v>
      </c>
      <c r="Y28" s="29">
        <f t="shared" si="1"/>
      </c>
      <c r="Z28" s="29">
        <f t="shared" si="1"/>
      </c>
      <c r="AA28" s="29">
        <f t="shared" si="1"/>
      </c>
      <c r="AB28" s="29">
        <f t="shared" si="1"/>
      </c>
      <c r="AC28" s="29">
        <f t="shared" si="1"/>
      </c>
      <c r="AD28" s="29">
        <f t="shared" si="1"/>
      </c>
      <c r="AE28" s="29">
        <f t="shared" si="1"/>
      </c>
      <c r="AF28" s="29">
        <f t="shared" si="1"/>
      </c>
      <c r="AG28" s="29">
        <f t="shared" si="1"/>
      </c>
      <c r="AH28" s="29">
        <f t="shared" si="1"/>
      </c>
      <c r="AI28" s="29">
        <f t="shared" si="1"/>
      </c>
      <c r="AJ28" s="29">
        <f t="shared" si="1"/>
      </c>
      <c r="AK28" s="29">
        <f t="shared" si="1"/>
      </c>
      <c r="AL28" s="29">
        <f t="shared" si="1"/>
      </c>
      <c r="AM28" s="29">
        <f t="shared" si="1"/>
      </c>
      <c r="AN28" s="29">
        <f t="shared" si="1"/>
      </c>
      <c r="AO28" s="29">
        <f t="shared" si="1"/>
      </c>
      <c r="AP28" s="29">
        <f t="shared" si="1"/>
      </c>
      <c r="AQ28" s="29">
        <f t="shared" si="1"/>
      </c>
      <c r="AR28" s="29">
        <f t="shared" si="1"/>
      </c>
      <c r="AS28" s="29">
        <f t="shared" si="1"/>
      </c>
      <c r="AT28" s="29">
        <f t="shared" si="1"/>
      </c>
      <c r="AU28" s="29">
        <f t="shared" si="1"/>
      </c>
      <c r="AV28" s="29">
        <f t="shared" si="1"/>
      </c>
      <c r="AW28" s="29">
        <f t="shared" si="1"/>
      </c>
      <c r="AX28" s="29">
        <f t="shared" si="1"/>
      </c>
      <c r="AY28" s="29">
        <f t="shared" si="1"/>
      </c>
      <c r="AZ28" s="29">
        <f t="shared" si="1"/>
      </c>
      <c r="BA28" s="29">
        <f t="shared" si="1"/>
      </c>
      <c r="BB28" s="29">
        <f t="shared" si="1"/>
      </c>
    </row>
    <row r="29" spans="1:54" ht="19.5" thickBot="1">
      <c r="A29" s="26" t="s">
        <v>9</v>
      </c>
      <c r="B29" s="21" t="s">
        <v>17</v>
      </c>
      <c r="C29" s="16">
        <f>SUM(D29:BB29)</f>
        <v>95487.82712984158</v>
      </c>
      <c r="D29" s="27">
        <f>D30*D26</f>
        <v>884.6240449173487</v>
      </c>
      <c r="E29" s="27">
        <f aca="true" t="shared" si="2" ref="E29:BB29">E30*E26</f>
        <v>16824.68925864909</v>
      </c>
      <c r="F29" s="27">
        <f t="shared" si="2"/>
        <v>15578.415980230633</v>
      </c>
      <c r="G29" s="27">
        <f t="shared" si="2"/>
        <v>14424.459240954291</v>
      </c>
      <c r="H29" s="27">
        <f t="shared" si="2"/>
        <v>13355.98077866138</v>
      </c>
      <c r="I29" s="27">
        <f t="shared" si="2"/>
        <v>12366.648869130908</v>
      </c>
      <c r="J29" s="27">
        <f t="shared" si="2"/>
        <v>11450.600804750842</v>
      </c>
      <c r="K29" s="27">
        <f t="shared" si="2"/>
        <v>10602.408152547076</v>
      </c>
      <c r="L29" s="27">
        <f t="shared" si="2"/>
        <v>0</v>
      </c>
      <c r="M29" s="27">
        <f t="shared" si="2"/>
        <v>0</v>
      </c>
      <c r="N29" s="27">
        <f t="shared" si="2"/>
        <v>0</v>
      </c>
      <c r="O29" s="27">
        <f t="shared" si="2"/>
        <v>0</v>
      </c>
      <c r="P29" s="27">
        <f t="shared" si="2"/>
        <v>0</v>
      </c>
      <c r="Q29" s="27">
        <f t="shared" si="2"/>
        <v>0</v>
      </c>
      <c r="R29" s="27">
        <f t="shared" si="2"/>
        <v>0</v>
      </c>
      <c r="S29" s="27">
        <f t="shared" si="2"/>
        <v>0</v>
      </c>
      <c r="T29" s="27">
        <f t="shared" si="2"/>
        <v>0</v>
      </c>
      <c r="U29" s="27">
        <f t="shared" si="2"/>
        <v>0</v>
      </c>
      <c r="V29" s="27">
        <f t="shared" si="2"/>
        <v>0</v>
      </c>
      <c r="W29" s="27">
        <f t="shared" si="2"/>
        <v>0</v>
      </c>
      <c r="X29" s="27">
        <f t="shared" si="2"/>
        <v>0</v>
      </c>
      <c r="Y29" s="27">
        <f t="shared" si="2"/>
        <v>0</v>
      </c>
      <c r="Z29" s="27">
        <f t="shared" si="2"/>
        <v>0</v>
      </c>
      <c r="AA29" s="27">
        <f t="shared" si="2"/>
        <v>0</v>
      </c>
      <c r="AB29" s="27">
        <f t="shared" si="2"/>
        <v>0</v>
      </c>
      <c r="AC29" s="27">
        <f t="shared" si="2"/>
        <v>0</v>
      </c>
      <c r="AD29" s="27">
        <f t="shared" si="2"/>
        <v>0</v>
      </c>
      <c r="AE29" s="27">
        <f t="shared" si="2"/>
        <v>0</v>
      </c>
      <c r="AF29" s="27">
        <f t="shared" si="2"/>
        <v>0</v>
      </c>
      <c r="AG29" s="27">
        <f t="shared" si="2"/>
        <v>0</v>
      </c>
      <c r="AH29" s="27">
        <f t="shared" si="2"/>
        <v>0</v>
      </c>
      <c r="AI29" s="27">
        <f t="shared" si="2"/>
        <v>0</v>
      </c>
      <c r="AJ29" s="27">
        <f t="shared" si="2"/>
        <v>0</v>
      </c>
      <c r="AK29" s="27">
        <f t="shared" si="2"/>
        <v>0</v>
      </c>
      <c r="AL29" s="27">
        <f t="shared" si="2"/>
        <v>0</v>
      </c>
      <c r="AM29" s="27">
        <f t="shared" si="2"/>
        <v>0</v>
      </c>
      <c r="AN29" s="27">
        <f t="shared" si="2"/>
        <v>0</v>
      </c>
      <c r="AO29" s="27">
        <f t="shared" si="2"/>
        <v>0</v>
      </c>
      <c r="AP29" s="27">
        <f t="shared" si="2"/>
        <v>0</v>
      </c>
      <c r="AQ29" s="27">
        <f t="shared" si="2"/>
        <v>0</v>
      </c>
      <c r="AR29" s="27">
        <f t="shared" si="2"/>
        <v>0</v>
      </c>
      <c r="AS29" s="27">
        <f t="shared" si="2"/>
        <v>0</v>
      </c>
      <c r="AT29" s="27">
        <f t="shared" si="2"/>
        <v>0</v>
      </c>
      <c r="AU29" s="27">
        <f t="shared" si="2"/>
        <v>0</v>
      </c>
      <c r="AV29" s="27">
        <f t="shared" si="2"/>
        <v>0</v>
      </c>
      <c r="AW29" s="27">
        <f t="shared" si="2"/>
        <v>0</v>
      </c>
      <c r="AX29" s="27">
        <f t="shared" si="2"/>
        <v>0</v>
      </c>
      <c r="AY29" s="27">
        <f t="shared" si="2"/>
        <v>0</v>
      </c>
      <c r="AZ29" s="27">
        <f t="shared" si="2"/>
        <v>0</v>
      </c>
      <c r="BA29" s="27">
        <f t="shared" si="2"/>
        <v>0</v>
      </c>
      <c r="BB29" s="27">
        <f t="shared" si="2"/>
        <v>0</v>
      </c>
    </row>
    <row r="30" spans="1:54" ht="14.25" customHeight="1">
      <c r="A30" s="30" t="s">
        <v>23</v>
      </c>
      <c r="B30" s="28" t="s">
        <v>17</v>
      </c>
      <c r="C30" s="12">
        <f>(C32+C33+C34+C38+C40)*1000</f>
        <v>494600</v>
      </c>
      <c r="D30" s="50">
        <f>D32+D33+D34+D39+D41+D48+D49</f>
        <v>884.6240449173487</v>
      </c>
      <c r="E30" s="50">
        <f aca="true" t="shared" si="3" ref="E30:K30">E32+E33+E34+E39+E41+E48+E49</f>
        <v>18170.664399341018</v>
      </c>
      <c r="F30" s="50">
        <f t="shared" si="3"/>
        <v>18170.664399341014</v>
      </c>
      <c r="G30" s="50">
        <f t="shared" si="3"/>
        <v>18170.664399341018</v>
      </c>
      <c r="H30" s="50">
        <f t="shared" si="3"/>
        <v>18170.664399341018</v>
      </c>
      <c r="I30" s="50">
        <f t="shared" si="3"/>
        <v>18170.664399341018</v>
      </c>
      <c r="J30" s="50">
        <f t="shared" si="3"/>
        <v>18170.66439934102</v>
      </c>
      <c r="K30" s="50">
        <f t="shared" si="3"/>
        <v>18170.66439934102</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3" ht="12.75">
      <c r="A31" s="13" t="s">
        <v>10</v>
      </c>
      <c r="C31" s="9"/>
    </row>
    <row r="32" spans="1:3" ht="12.75">
      <c r="A32" s="43" t="s">
        <v>35</v>
      </c>
      <c r="B32" s="44" t="s">
        <v>27</v>
      </c>
      <c r="C32" s="45">
        <f>E8</f>
        <v>143.6</v>
      </c>
    </row>
    <row r="33" spans="1:3" ht="12.75">
      <c r="A33" s="43" t="s">
        <v>29</v>
      </c>
      <c r="B33" s="44" t="s">
        <v>27</v>
      </c>
      <c r="C33" s="45">
        <f>E9</f>
        <v>25</v>
      </c>
    </row>
    <row r="34" spans="1:3" ht="12.75">
      <c r="A34" s="46" t="s">
        <v>36</v>
      </c>
      <c r="B34" s="44" t="s">
        <v>27</v>
      </c>
      <c r="C34" s="45">
        <f>E13</f>
        <v>30</v>
      </c>
    </row>
    <row r="35" ht="12.75">
      <c r="C35" s="9"/>
    </row>
    <row r="36" ht="12.75">
      <c r="A36" s="13" t="s">
        <v>11</v>
      </c>
    </row>
    <row r="37" spans="1:3" ht="12.75">
      <c r="A37" s="46" t="s">
        <v>61</v>
      </c>
      <c r="B37" s="47" t="s">
        <v>56</v>
      </c>
      <c r="C37" s="46">
        <v>40</v>
      </c>
    </row>
    <row r="38" spans="1:3" ht="12.75">
      <c r="A38" s="46" t="s">
        <v>31</v>
      </c>
      <c r="B38" s="47" t="s">
        <v>27</v>
      </c>
      <c r="C38" s="46">
        <f>E12</f>
        <v>80</v>
      </c>
    </row>
    <row r="39" spans="1:4" ht="12.75">
      <c r="A39" s="46" t="s">
        <v>60</v>
      </c>
      <c r="B39" s="47" t="s">
        <v>27</v>
      </c>
      <c r="C39" s="52">
        <f>C38*C43</f>
        <v>65.86811417802008</v>
      </c>
      <c r="D39" s="48"/>
    </row>
    <row r="40" spans="1:4" ht="12.75">
      <c r="A40" s="43" t="s">
        <v>30</v>
      </c>
      <c r="B40" s="44" t="s">
        <v>27</v>
      </c>
      <c r="C40" s="52">
        <f>E11</f>
        <v>216</v>
      </c>
      <c r="D40" s="48"/>
    </row>
    <row r="41" spans="1:4" ht="12.75">
      <c r="A41" s="46" t="s">
        <v>62</v>
      </c>
      <c r="B41" s="44" t="s">
        <v>27</v>
      </c>
      <c r="C41" s="52">
        <f>C40*C43</f>
        <v>177.8439082806542</v>
      </c>
      <c r="D41" s="48"/>
    </row>
    <row r="42" spans="1:3" ht="12.75">
      <c r="A42" s="11" t="s">
        <v>19</v>
      </c>
      <c r="B42" s="8" t="s">
        <v>17</v>
      </c>
      <c r="C42" s="24"/>
    </row>
    <row r="43" spans="1:3" ht="14.25" customHeight="1">
      <c r="A43" s="23" t="s">
        <v>22</v>
      </c>
      <c r="B43" s="22"/>
      <c r="C43" s="17">
        <f>(1-POWER(1+C26/100,-C25))/(1-POWER(1+C26/100,-C37))</f>
        <v>0.8233514272252509</v>
      </c>
    </row>
    <row r="44" spans="1:3" ht="12.75">
      <c r="A44" s="10"/>
      <c r="B44" s="8"/>
      <c r="C44" s="12"/>
    </row>
    <row r="45" spans="1:3" ht="12.75">
      <c r="A45" s="10"/>
      <c r="C45" s="12"/>
    </row>
    <row r="46" spans="1:3" ht="12.75">
      <c r="A46" s="14" t="s">
        <v>12</v>
      </c>
      <c r="C46" s="12"/>
    </row>
    <row r="47" spans="1:11" ht="12.75">
      <c r="A47" s="59" t="s">
        <v>68</v>
      </c>
      <c r="B47" s="60" t="s">
        <v>17</v>
      </c>
      <c r="C47" s="62">
        <f>'4 FinPlanas'!C47</f>
        <v>88462.40449173487</v>
      </c>
      <c r="D47" s="57"/>
      <c r="E47" s="57"/>
      <c r="F47" s="57"/>
      <c r="G47" s="57"/>
      <c r="H47" s="57"/>
      <c r="I47" s="57"/>
      <c r="J47" s="57"/>
      <c r="K47" s="57"/>
    </row>
    <row r="48" spans="1:11" ht="12.75">
      <c r="A48" s="59" t="s">
        <v>69</v>
      </c>
      <c r="B48" s="60" t="s">
        <v>17</v>
      </c>
      <c r="C48" s="62">
        <f>SUM(E48:K48)</f>
        <v>127194.65079538713</v>
      </c>
      <c r="D48" s="57"/>
      <c r="E48" s="58">
        <v>18170.664399341018</v>
      </c>
      <c r="F48" s="58">
        <v>18170.664399341014</v>
      </c>
      <c r="G48" s="58">
        <v>18170.664399341018</v>
      </c>
      <c r="H48" s="58">
        <v>18170.664399341018</v>
      </c>
      <c r="I48" s="58">
        <v>18170.664399341018</v>
      </c>
      <c r="J48" s="58">
        <v>18170.66439934102</v>
      </c>
      <c r="K48" s="58">
        <v>18170.66439934102</v>
      </c>
    </row>
    <row r="49" spans="1:11" ht="12" customHeight="1">
      <c r="A49" s="63" t="s">
        <v>70</v>
      </c>
      <c r="B49" s="60" t="s">
        <v>17</v>
      </c>
      <c r="C49" s="61"/>
      <c r="D49" s="58">
        <f>C47*0.01</f>
        <v>884.6240449173487</v>
      </c>
      <c r="E49" s="57"/>
      <c r="F49" s="57"/>
      <c r="G49" s="57"/>
      <c r="H49" s="57"/>
      <c r="I49" s="57"/>
      <c r="J49" s="57"/>
      <c r="K49" s="57"/>
    </row>
    <row r="50" spans="1:3" ht="12.75">
      <c r="A50" s="10"/>
      <c r="C50" s="12"/>
    </row>
    <row r="51" spans="4:54" ht="15" thickBot="1">
      <c r="D51" s="29" t="s">
        <v>5</v>
      </c>
      <c r="E51" s="29">
        <f>E28</f>
        <v>1</v>
      </c>
      <c r="F51" s="29">
        <f aca="true" t="shared" si="4" ref="F51:BB51">F28</f>
        <v>2</v>
      </c>
      <c r="G51" s="29">
        <f t="shared" si="4"/>
        <v>3</v>
      </c>
      <c r="H51" s="29">
        <f t="shared" si="4"/>
        <v>4</v>
      </c>
      <c r="I51" s="29">
        <f t="shared" si="4"/>
        <v>5</v>
      </c>
      <c r="J51" s="29">
        <f t="shared" si="4"/>
        <v>6</v>
      </c>
      <c r="K51" s="29">
        <f t="shared" si="4"/>
        <v>7</v>
      </c>
      <c r="L51" s="29">
        <f t="shared" si="4"/>
        <v>8</v>
      </c>
      <c r="M51" s="29">
        <f t="shared" si="4"/>
        <v>9</v>
      </c>
      <c r="N51" s="29">
        <f t="shared" si="4"/>
        <v>10</v>
      </c>
      <c r="O51" s="29">
        <f t="shared" si="4"/>
        <v>11</v>
      </c>
      <c r="P51" s="29">
        <f t="shared" si="4"/>
        <v>12</v>
      </c>
      <c r="Q51" s="29">
        <f t="shared" si="4"/>
        <v>13</v>
      </c>
      <c r="R51" s="29">
        <f t="shared" si="4"/>
        <v>14</v>
      </c>
      <c r="S51" s="29">
        <f t="shared" si="4"/>
        <v>15</v>
      </c>
      <c r="T51" s="29">
        <f t="shared" si="4"/>
        <v>16</v>
      </c>
      <c r="U51" s="29">
        <f t="shared" si="4"/>
        <v>17</v>
      </c>
      <c r="V51" s="29">
        <f t="shared" si="4"/>
        <v>18</v>
      </c>
      <c r="W51" s="29">
        <f t="shared" si="4"/>
        <v>19</v>
      </c>
      <c r="X51" s="29">
        <f t="shared" si="4"/>
        <v>20</v>
      </c>
      <c r="Y51" s="29">
        <f t="shared" si="4"/>
      </c>
      <c r="Z51" s="29">
        <f t="shared" si="4"/>
      </c>
      <c r="AA51" s="29">
        <f t="shared" si="4"/>
      </c>
      <c r="AB51" s="29">
        <f t="shared" si="4"/>
      </c>
      <c r="AC51" s="29">
        <f t="shared" si="4"/>
      </c>
      <c r="AD51" s="29">
        <f t="shared" si="4"/>
      </c>
      <c r="AE51" s="29">
        <f t="shared" si="4"/>
      </c>
      <c r="AF51" s="29">
        <f t="shared" si="4"/>
      </c>
      <c r="AG51" s="29">
        <f t="shared" si="4"/>
      </c>
      <c r="AH51" s="29">
        <f t="shared" si="4"/>
      </c>
      <c r="AI51" s="29">
        <f t="shared" si="4"/>
      </c>
      <c r="AJ51" s="29">
        <f t="shared" si="4"/>
      </c>
      <c r="AK51" s="29">
        <f t="shared" si="4"/>
      </c>
      <c r="AL51" s="29">
        <f t="shared" si="4"/>
      </c>
      <c r="AM51" s="29">
        <f t="shared" si="4"/>
      </c>
      <c r="AN51" s="29">
        <f t="shared" si="4"/>
      </c>
      <c r="AO51" s="29">
        <f t="shared" si="4"/>
      </c>
      <c r="AP51" s="29">
        <f t="shared" si="4"/>
      </c>
      <c r="AQ51" s="29">
        <f t="shared" si="4"/>
      </c>
      <c r="AR51" s="29">
        <f t="shared" si="4"/>
      </c>
      <c r="AS51" s="29">
        <f t="shared" si="4"/>
      </c>
      <c r="AT51" s="29">
        <f t="shared" si="4"/>
      </c>
      <c r="AU51" s="29">
        <f t="shared" si="4"/>
      </c>
      <c r="AV51" s="29">
        <f t="shared" si="4"/>
      </c>
      <c r="AW51" s="29">
        <f t="shared" si="4"/>
      </c>
      <c r="AX51" s="29">
        <f t="shared" si="4"/>
      </c>
      <c r="AY51" s="29">
        <f t="shared" si="4"/>
      </c>
      <c r="AZ51" s="29">
        <f t="shared" si="4"/>
      </c>
      <c r="BA51" s="29">
        <f t="shared" si="4"/>
      </c>
      <c r="BB51" s="29">
        <f t="shared" si="4"/>
      </c>
    </row>
    <row r="52" spans="1:54" ht="19.5" thickBot="1">
      <c r="A52" s="26" t="s">
        <v>15</v>
      </c>
      <c r="B52" s="22" t="s">
        <v>17</v>
      </c>
      <c r="C52" s="16">
        <f>SUM(E52:BB52)</f>
        <v>-318966.67272220174</v>
      </c>
      <c r="D52" s="2"/>
      <c r="E52" s="27">
        <f aca="true" t="shared" si="5" ref="E52:AJ52">E53*E26</f>
        <v>-30080.981627525234</v>
      </c>
      <c r="F52" s="27">
        <f t="shared" si="5"/>
        <v>-27852.760766227064</v>
      </c>
      <c r="G52" s="27">
        <f t="shared" si="5"/>
        <v>-25789.593302062094</v>
      </c>
      <c r="H52" s="27">
        <f t="shared" si="5"/>
        <v>-23879.253057464903</v>
      </c>
      <c r="I52" s="27">
        <f t="shared" si="5"/>
        <v>-22110.419497652685</v>
      </c>
      <c r="J52" s="27">
        <f t="shared" si="5"/>
        <v>-20472.61064597471</v>
      </c>
      <c r="K52" s="27">
        <f t="shared" si="5"/>
        <v>-18956.1209684951</v>
      </c>
      <c r="L52" s="27">
        <f t="shared" si="5"/>
        <v>-17551.96385971768</v>
      </c>
      <c r="M52" s="27">
        <f t="shared" si="5"/>
        <v>-16251.81838862748</v>
      </c>
      <c r="N52" s="27">
        <f t="shared" si="5"/>
        <v>-15047.979989469888</v>
      </c>
      <c r="O52" s="27">
        <f t="shared" si="5"/>
        <v>-13933.31480506471</v>
      </c>
      <c r="P52" s="27">
        <f t="shared" si="5"/>
        <v>-12901.217412096952</v>
      </c>
      <c r="Q52" s="27">
        <f t="shared" si="5"/>
        <v>-11945.571677867549</v>
      </c>
      <c r="R52" s="27">
        <f t="shared" si="5"/>
        <v>-11060.714516544027</v>
      </c>
      <c r="S52" s="27">
        <f t="shared" si="5"/>
        <v>-10241.402330133358</v>
      </c>
      <c r="T52" s="27">
        <f t="shared" si="5"/>
        <v>-9482.779935308663</v>
      </c>
      <c r="U52" s="27">
        <f t="shared" si="5"/>
        <v>-8780.351791952466</v>
      </c>
      <c r="V52" s="27">
        <f t="shared" si="5"/>
        <v>-8129.955362918948</v>
      </c>
      <c r="W52" s="27">
        <f t="shared" si="5"/>
        <v>-7527.736447147174</v>
      </c>
      <c r="X52" s="27">
        <f t="shared" si="5"/>
        <v>-6970.126339951086</v>
      </c>
      <c r="Y52" s="27">
        <f t="shared" si="5"/>
        <v>0</v>
      </c>
      <c r="Z52" s="27">
        <f t="shared" si="5"/>
        <v>0</v>
      </c>
      <c r="AA52" s="27">
        <f t="shared" si="5"/>
        <v>0</v>
      </c>
      <c r="AB52" s="27">
        <f t="shared" si="5"/>
        <v>0</v>
      </c>
      <c r="AC52" s="27">
        <f t="shared" si="5"/>
        <v>0</v>
      </c>
      <c r="AD52" s="27">
        <f t="shared" si="5"/>
        <v>0</v>
      </c>
      <c r="AE52" s="27">
        <f t="shared" si="5"/>
        <v>0</v>
      </c>
      <c r="AF52" s="27">
        <f t="shared" si="5"/>
        <v>0</v>
      </c>
      <c r="AG52" s="27">
        <f t="shared" si="5"/>
        <v>0</v>
      </c>
      <c r="AH52" s="27">
        <f t="shared" si="5"/>
        <v>0</v>
      </c>
      <c r="AI52" s="27">
        <f t="shared" si="5"/>
        <v>0</v>
      </c>
      <c r="AJ52" s="27">
        <f t="shared" si="5"/>
        <v>0</v>
      </c>
      <c r="AK52" s="27">
        <f aca="true" t="shared" si="6" ref="AK52:BB52">AK53*AK26</f>
        <v>0</v>
      </c>
      <c r="AL52" s="27">
        <f t="shared" si="6"/>
        <v>0</v>
      </c>
      <c r="AM52" s="27">
        <f t="shared" si="6"/>
        <v>0</v>
      </c>
      <c r="AN52" s="27">
        <f t="shared" si="6"/>
        <v>0</v>
      </c>
      <c r="AO52" s="27">
        <f t="shared" si="6"/>
        <v>0</v>
      </c>
      <c r="AP52" s="27">
        <f t="shared" si="6"/>
        <v>0</v>
      </c>
      <c r="AQ52" s="27">
        <f t="shared" si="6"/>
        <v>0</v>
      </c>
      <c r="AR52" s="27">
        <f t="shared" si="6"/>
        <v>0</v>
      </c>
      <c r="AS52" s="27">
        <f t="shared" si="6"/>
        <v>0</v>
      </c>
      <c r="AT52" s="27">
        <f t="shared" si="6"/>
        <v>0</v>
      </c>
      <c r="AU52" s="27">
        <f t="shared" si="6"/>
        <v>0</v>
      </c>
      <c r="AV52" s="27">
        <f t="shared" si="6"/>
        <v>0</v>
      </c>
      <c r="AW52" s="27">
        <f t="shared" si="6"/>
        <v>0</v>
      </c>
      <c r="AX52" s="27">
        <f t="shared" si="6"/>
        <v>0</v>
      </c>
      <c r="AY52" s="27">
        <f t="shared" si="6"/>
        <v>0</v>
      </c>
      <c r="AZ52" s="27">
        <f t="shared" si="6"/>
        <v>0</v>
      </c>
      <c r="BA52" s="27">
        <f t="shared" si="6"/>
        <v>0</v>
      </c>
      <c r="BB52" s="27">
        <f t="shared" si="6"/>
        <v>0</v>
      </c>
    </row>
    <row r="53" spans="1:54" ht="15.75" thickBot="1">
      <c r="A53" s="30" t="s">
        <v>24</v>
      </c>
      <c r="B53" s="8" t="s">
        <v>17</v>
      </c>
      <c r="C53" s="16">
        <f>SUM(E53:BB53)</f>
        <v>-649749.2031545449</v>
      </c>
      <c r="E53" s="31">
        <f>E58-E68</f>
        <v>-32487.460157727255</v>
      </c>
      <c r="F53" s="31">
        <f aca="true" t="shared" si="7" ref="F53:S53">F58-F68</f>
        <v>-32487.460157727255</v>
      </c>
      <c r="G53" s="31">
        <f t="shared" si="7"/>
        <v>-32487.460157727255</v>
      </c>
      <c r="H53" s="31">
        <f t="shared" si="7"/>
        <v>-32487.460157727255</v>
      </c>
      <c r="I53" s="31">
        <f t="shared" si="7"/>
        <v>-32487.460157727255</v>
      </c>
      <c r="J53" s="31">
        <f t="shared" si="7"/>
        <v>-32487.460157727255</v>
      </c>
      <c r="K53" s="31">
        <f t="shared" si="7"/>
        <v>-32487.460157727255</v>
      </c>
      <c r="L53" s="31">
        <f t="shared" si="7"/>
        <v>-32487.460157727255</v>
      </c>
      <c r="M53" s="31">
        <f t="shared" si="7"/>
        <v>-32487.460157727255</v>
      </c>
      <c r="N53" s="31">
        <f t="shared" si="7"/>
        <v>-32487.460157727255</v>
      </c>
      <c r="O53" s="31">
        <f t="shared" si="7"/>
        <v>-32487.460157727255</v>
      </c>
      <c r="P53" s="31">
        <f t="shared" si="7"/>
        <v>-32487.460157727255</v>
      </c>
      <c r="Q53" s="31">
        <f t="shared" si="7"/>
        <v>-32487.460157727255</v>
      </c>
      <c r="R53" s="31">
        <f t="shared" si="7"/>
        <v>-32487.460157727255</v>
      </c>
      <c r="S53" s="31">
        <f t="shared" si="7"/>
        <v>-32487.460157727255</v>
      </c>
      <c r="T53" s="31">
        <f>T58-T68</f>
        <v>-32487.460157727255</v>
      </c>
      <c r="U53" s="31">
        <f>U58-U68</f>
        <v>-32487.460157727255</v>
      </c>
      <c r="V53" s="31">
        <f>V58-V68</f>
        <v>-32487.460157727255</v>
      </c>
      <c r="W53" s="31">
        <f>W58-W68</f>
        <v>-32487.460157727255</v>
      </c>
      <c r="X53" s="31">
        <f>X58-X68</f>
        <v>-32487.460157727255</v>
      </c>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ht="12.75">
      <c r="A54" s="13" t="s">
        <v>13</v>
      </c>
    </row>
    <row r="56" ht="12.75">
      <c r="A56" s="13" t="s">
        <v>14</v>
      </c>
    </row>
    <row r="57" spans="1:3" ht="12.75">
      <c r="A57" s="43" t="s">
        <v>44</v>
      </c>
      <c r="B57" s="47" t="s">
        <v>43</v>
      </c>
      <c r="C57" s="49">
        <f>C66/E15</f>
        <v>290.928</v>
      </c>
    </row>
    <row r="58" spans="1:24" ht="12.75">
      <c r="A58" s="43" t="s">
        <v>45</v>
      </c>
      <c r="B58" s="47" t="s">
        <v>46</v>
      </c>
      <c r="C58" s="49">
        <f>C57*E14/100</f>
        <v>105.897792</v>
      </c>
      <c r="E58">
        <f>C58*1000</f>
        <v>105897.792</v>
      </c>
      <c r="F58">
        <f>E58</f>
        <v>105897.792</v>
      </c>
      <c r="G58">
        <f aca="true" t="shared" si="8" ref="G58:S58">F58</f>
        <v>105897.792</v>
      </c>
      <c r="H58">
        <f t="shared" si="8"/>
        <v>105897.792</v>
      </c>
      <c r="I58">
        <f t="shared" si="8"/>
        <v>105897.792</v>
      </c>
      <c r="J58">
        <f t="shared" si="8"/>
        <v>105897.792</v>
      </c>
      <c r="K58">
        <f t="shared" si="8"/>
        <v>105897.792</v>
      </c>
      <c r="L58">
        <f t="shared" si="8"/>
        <v>105897.792</v>
      </c>
      <c r="M58">
        <f t="shared" si="8"/>
        <v>105897.792</v>
      </c>
      <c r="N58">
        <f t="shared" si="8"/>
        <v>105897.792</v>
      </c>
      <c r="O58">
        <f t="shared" si="8"/>
        <v>105897.792</v>
      </c>
      <c r="P58">
        <f t="shared" si="8"/>
        <v>105897.792</v>
      </c>
      <c r="Q58">
        <f t="shared" si="8"/>
        <v>105897.792</v>
      </c>
      <c r="R58">
        <f t="shared" si="8"/>
        <v>105897.792</v>
      </c>
      <c r="S58">
        <f t="shared" si="8"/>
        <v>105897.792</v>
      </c>
      <c r="T58">
        <f>S58</f>
        <v>105897.792</v>
      </c>
      <c r="U58">
        <f>T58</f>
        <v>105897.792</v>
      </c>
      <c r="V58">
        <f>U58</f>
        <v>105897.792</v>
      </c>
      <c r="W58">
        <f>V58</f>
        <v>105897.792</v>
      </c>
      <c r="X58">
        <f>W58</f>
        <v>105897.792</v>
      </c>
    </row>
    <row r="59" ht="12.75">
      <c r="B59" s="8"/>
    </row>
    <row r="60" spans="1:2" ht="12.75">
      <c r="A60" s="13" t="s">
        <v>18</v>
      </c>
      <c r="B60" s="8"/>
    </row>
    <row r="61" ht="12.75">
      <c r="B61" s="8"/>
    </row>
    <row r="62" ht="12.75">
      <c r="B62" s="8"/>
    </row>
    <row r="63" spans="1:2" ht="12.75">
      <c r="A63" s="13" t="s">
        <v>16</v>
      </c>
      <c r="B63" s="8"/>
    </row>
    <row r="64" spans="1:2" ht="12.75">
      <c r="A64" s="6"/>
      <c r="B64" s="8"/>
    </row>
    <row r="65" spans="1:2" ht="12.75">
      <c r="A65" s="54" t="s">
        <v>40</v>
      </c>
      <c r="B65" s="8"/>
    </row>
    <row r="66" spans="1:3" ht="12.75">
      <c r="A66" s="43" t="s">
        <v>42</v>
      </c>
      <c r="B66" s="47" t="s">
        <v>43</v>
      </c>
      <c r="C66" s="49">
        <f>(44*3*E16*24+44*1.5*E17*24)/1000</f>
        <v>872.784</v>
      </c>
    </row>
    <row r="67" spans="1:3" ht="12.75">
      <c r="A67" s="43" t="s">
        <v>47</v>
      </c>
      <c r="B67" s="47" t="s">
        <v>48</v>
      </c>
      <c r="C67" s="49">
        <f>C66/(E18/100)*859845/E19/1000</f>
        <v>77.5267519090909</v>
      </c>
    </row>
    <row r="68" spans="1:24" ht="12.75">
      <c r="A68" s="43" t="s">
        <v>52</v>
      </c>
      <c r="B68" s="46" t="s">
        <v>46</v>
      </c>
      <c r="C68" s="49">
        <f>C67*E20/1000</f>
        <v>138.38525215772725</v>
      </c>
      <c r="E68">
        <f>C68*1000</f>
        <v>138385.25215772726</v>
      </c>
      <c r="F68">
        <f>E68</f>
        <v>138385.25215772726</v>
      </c>
      <c r="G68">
        <f aca="true" t="shared" si="9" ref="G68:S68">F68</f>
        <v>138385.25215772726</v>
      </c>
      <c r="H68">
        <f t="shared" si="9"/>
        <v>138385.25215772726</v>
      </c>
      <c r="I68">
        <f t="shared" si="9"/>
        <v>138385.25215772726</v>
      </c>
      <c r="J68">
        <f t="shared" si="9"/>
        <v>138385.25215772726</v>
      </c>
      <c r="K68">
        <f t="shared" si="9"/>
        <v>138385.25215772726</v>
      </c>
      <c r="L68">
        <f t="shared" si="9"/>
        <v>138385.25215772726</v>
      </c>
      <c r="M68">
        <f t="shared" si="9"/>
        <v>138385.25215772726</v>
      </c>
      <c r="N68">
        <f t="shared" si="9"/>
        <v>138385.25215772726</v>
      </c>
      <c r="O68">
        <f t="shared" si="9"/>
        <v>138385.25215772726</v>
      </c>
      <c r="P68">
        <f t="shared" si="9"/>
        <v>138385.25215772726</v>
      </c>
      <c r="Q68">
        <f t="shared" si="9"/>
        <v>138385.25215772726</v>
      </c>
      <c r="R68">
        <f t="shared" si="9"/>
        <v>138385.25215772726</v>
      </c>
      <c r="S68">
        <f t="shared" si="9"/>
        <v>138385.25215772726</v>
      </c>
      <c r="T68">
        <f>S68</f>
        <v>138385.25215772726</v>
      </c>
      <c r="U68">
        <f>T68</f>
        <v>138385.25215772726</v>
      </c>
      <c r="V68">
        <f>U68</f>
        <v>138385.25215772726</v>
      </c>
      <c r="W68">
        <f>V68</f>
        <v>138385.25215772726</v>
      </c>
      <c r="X68">
        <f>W68</f>
        <v>138385.25215772726</v>
      </c>
    </row>
    <row r="69" ht="13.5" thickBot="1"/>
    <row r="70" spans="1:3" ht="15.75" thickBot="1">
      <c r="A70" s="20" t="s">
        <v>41</v>
      </c>
      <c r="B70" s="18" t="s">
        <v>7</v>
      </c>
      <c r="C70" s="16">
        <f>C66*1000</f>
        <v>872784</v>
      </c>
    </row>
    <row r="71" spans="1:3" ht="12.75">
      <c r="A71" s="7"/>
      <c r="B71" s="8"/>
      <c r="C71" s="3"/>
    </row>
    <row r="72" spans="1:3" ht="12.75">
      <c r="A72" s="7"/>
      <c r="B72" s="8"/>
      <c r="C72" s="3"/>
    </row>
    <row r="73" spans="1:3" ht="12.75">
      <c r="A73" s="7"/>
      <c r="B73" s="8"/>
      <c r="C73" s="3"/>
    </row>
    <row r="74" spans="1:3" ht="12.75">
      <c r="A74" s="7"/>
      <c r="B74" s="8"/>
      <c r="C74" s="3"/>
    </row>
    <row r="75" ht="13.5" thickBot="1"/>
    <row r="76" spans="1:3" ht="33" thickBot="1" thickTop="1">
      <c r="A76" s="53" t="s">
        <v>58</v>
      </c>
      <c r="B76" s="38" t="s">
        <v>8</v>
      </c>
      <c r="C76" s="64">
        <f>IF(C70&gt;0,C28*100/C70*C26/100/(1-POWER(1+C26/100,-C25)),"")</f>
        <v>-2.607955009352795</v>
      </c>
    </row>
    <row r="77" ht="13.5" thickTop="1"/>
  </sheetData>
  <sheetProtection/>
  <mergeCells count="17">
    <mergeCell ref="A17:C17"/>
    <mergeCell ref="A11:C11"/>
    <mergeCell ref="A12:C12"/>
    <mergeCell ref="A13:C13"/>
    <mergeCell ref="A10:C10"/>
    <mergeCell ref="A20:C20"/>
    <mergeCell ref="A18:C18"/>
    <mergeCell ref="A19:C19"/>
    <mergeCell ref="A14:C14"/>
    <mergeCell ref="A15:C15"/>
    <mergeCell ref="A16:C16"/>
    <mergeCell ref="A8:C8"/>
    <mergeCell ref="A1:D1"/>
    <mergeCell ref="A2:D2"/>
    <mergeCell ref="A6:I6"/>
    <mergeCell ref="A7:C7"/>
    <mergeCell ref="A9:C9"/>
  </mergeCells>
  <printOptions gridLines="1"/>
  <pageMargins left="0.89" right="0.42" top="1" bottom="0.85" header="0.5" footer="0.5"/>
  <pageSetup fitToHeight="1" fitToWidth="1" horizontalDpi="200" verticalDpi="2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dc:creator>
  <cp:keywords/>
  <dc:description/>
  <cp:lastModifiedBy>Vilma Kavaliova</cp:lastModifiedBy>
  <cp:lastPrinted>2011-06-26T22:04:38Z</cp:lastPrinted>
  <dcterms:created xsi:type="dcterms:W3CDTF">2011-01-13T11:46:47Z</dcterms:created>
  <dcterms:modified xsi:type="dcterms:W3CDTF">2021-12-30T07:22:44Z</dcterms:modified>
  <cp:category/>
  <cp:version/>
  <cp:contentType/>
  <cp:contentStatus/>
</cp:coreProperties>
</file>