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40" activeTab="0"/>
  </bookViews>
  <sheets>
    <sheet name="1 FinPlanas" sheetId="1" r:id="rId1"/>
    <sheet name="2 FinPlanas" sheetId="2" r:id="rId2"/>
    <sheet name="3 FinPlanas" sheetId="3" r:id="rId3"/>
    <sheet name="4 FinPlanas" sheetId="4" r:id="rId4"/>
    <sheet name="5 FinPlanas" sheetId="5" r:id="rId5"/>
  </sheets>
  <definedNames>
    <definedName name="_xlnm.Print_Area" localSheetId="0">'1 FinPlanas'!$A$1:$I$76</definedName>
    <definedName name="_xlnm.Print_Area" localSheetId="1">'2 FinPlanas'!$A$1:$I$76</definedName>
    <definedName name="_xlnm.Print_Area" localSheetId="2">'3 FinPlanas'!$A$1:$I$76</definedName>
    <definedName name="_xlnm.Print_Area" localSheetId="3">'4 FinPlanas'!$A$1:$I$79</definedName>
    <definedName name="_xlnm.Print_Area" localSheetId="4">'5 FinPlanas'!$A$1:$I$79</definedName>
  </definedNames>
  <calcPr fullCalcOnLoad="1"/>
</workbook>
</file>

<file path=xl/comments1.xml><?xml version="1.0" encoding="utf-8"?>
<comments xmlns="http://schemas.openxmlformats.org/spreadsheetml/2006/main">
  <authors>
    <author>RZ</author>
    <author>Rimas</author>
  </authors>
  <commentList>
    <comment ref="C32" authorId="0">
      <text>
        <r>
          <rPr>
            <sz val="8"/>
            <rFont val="Tahoma"/>
            <family val="0"/>
          </rPr>
          <t xml:space="preserve">Visos investicijos per gyvenimo laiką T - diskontuotų metinių sąnaudų suma. Investicijos gali būti įvedamos ir į 0 metus.
</t>
        </r>
      </text>
    </comment>
    <comment ref="C52" authorId="0">
      <text>
        <r>
          <rPr>
            <sz val="8"/>
            <rFont val="Tahoma"/>
            <family val="0"/>
          </rPr>
          <t xml:space="preserve">Visos eksploatacinės sąnaudos per projekto gyvenimo trukmę T - diskontuotų metinių sąnaudų suma.
</t>
        </r>
      </text>
    </comment>
    <comment ref="C31" authorId="0">
      <text>
        <r>
          <rPr>
            <sz val="8"/>
            <rFont val="Tahoma"/>
            <family val="0"/>
          </rPr>
          <t xml:space="preserve">Į mėlynus laukus duomenys neįvedami. Šiam lauke paruoštos sąnaudos S formulei.
</t>
        </r>
      </text>
    </comment>
    <comment ref="C70"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29" authorId="1">
      <text>
        <r>
          <rPr>
            <sz val="8"/>
            <rFont val="Tahoma"/>
            <family val="0"/>
          </rPr>
          <t xml:space="preserve">Visos metinės išlaidos laikomos įvykusiomis tų metų pabaigoje ir diskontuojamos į projekto pradžią (0 metų pabaigą = 1 metų pradžią).
</t>
        </r>
      </text>
    </comment>
    <comment ref="C28" authorId="1">
      <text>
        <r>
          <rPr>
            <sz val="8"/>
            <rFont val="Tahoma"/>
            <family val="0"/>
          </rPr>
          <t xml:space="preserve">Nuo 1 iki max 50 metų imtinai. 
</t>
        </r>
      </text>
    </comment>
    <comment ref="C45" authorId="0">
      <text>
        <r>
          <rPr>
            <sz val="8"/>
            <rFont val="Tahoma"/>
            <family val="2"/>
          </rPr>
          <t>Per TIKRĄJĄ tinklo gyvenimo trukmę (pvz 40 metų).</t>
        </r>
      </text>
    </comment>
    <comment ref="C46"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33" authorId="0">
      <text>
        <r>
          <rPr>
            <sz val="8"/>
            <rFont val="Tahoma"/>
            <family val="2"/>
          </rPr>
          <t>Sumuoti nediskontuotas sąnaudas iš žemiau esančių eilučių visame skyriuje "Investicijos".</t>
        </r>
      </text>
    </comment>
    <comment ref="A53"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comments2.xml><?xml version="1.0" encoding="utf-8"?>
<comments xmlns="http://schemas.openxmlformats.org/spreadsheetml/2006/main">
  <authors>
    <author>RZ</author>
    <author>Rimas</author>
  </authors>
  <commentList>
    <comment ref="C32" authorId="0">
      <text>
        <r>
          <rPr>
            <sz val="8"/>
            <rFont val="Tahoma"/>
            <family val="0"/>
          </rPr>
          <t xml:space="preserve">Visos investicijos per gyvenimo laiką T - diskontuotų metinių sąnaudų suma. Investicijos gali būti įvedamos ir į 0 metus.
</t>
        </r>
      </text>
    </comment>
    <comment ref="C52" authorId="0">
      <text>
        <r>
          <rPr>
            <sz val="8"/>
            <rFont val="Tahoma"/>
            <family val="0"/>
          </rPr>
          <t xml:space="preserve">Visos eksploatacinės sąnaudos per projekto gyvenimo trukmę T - diskontuotų metinių sąnaudų suma.
</t>
        </r>
      </text>
    </comment>
    <comment ref="C31" authorId="0">
      <text>
        <r>
          <rPr>
            <sz val="8"/>
            <rFont val="Tahoma"/>
            <family val="0"/>
          </rPr>
          <t xml:space="preserve">Į mėlynus laukus duomenys neįvedami. Šiam lauke paruoštos sąnaudos S formulei.
</t>
        </r>
      </text>
    </comment>
    <comment ref="C70"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29" authorId="1">
      <text>
        <r>
          <rPr>
            <sz val="8"/>
            <rFont val="Tahoma"/>
            <family val="0"/>
          </rPr>
          <t xml:space="preserve">Visos metinės išlaidos laikomos įvykusiomis tų metų pabaigoje ir diskontuojamos į projekto pradžią (0 metų pabaigą = 1 metų pradžią).
</t>
        </r>
      </text>
    </comment>
    <comment ref="C28" authorId="1">
      <text>
        <r>
          <rPr>
            <sz val="8"/>
            <rFont val="Tahoma"/>
            <family val="0"/>
          </rPr>
          <t xml:space="preserve">Nuo 1 iki max 50 metų imtinai. 
</t>
        </r>
      </text>
    </comment>
    <comment ref="C45" authorId="0">
      <text>
        <r>
          <rPr>
            <sz val="8"/>
            <rFont val="Tahoma"/>
            <family val="2"/>
          </rPr>
          <t>Per TIKRĄJĄ tinklo gyvenimo trukmę (pvz 40 metų).</t>
        </r>
      </text>
    </comment>
    <comment ref="C46"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33" authorId="0">
      <text>
        <r>
          <rPr>
            <sz val="8"/>
            <rFont val="Tahoma"/>
            <family val="2"/>
          </rPr>
          <t>Sumuoti nediskontuotas sąnaudas iš žemiau esančių eilučių visame skyriuje "Investicijos".</t>
        </r>
      </text>
    </comment>
    <comment ref="A53"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comments3.xml><?xml version="1.0" encoding="utf-8"?>
<comments xmlns="http://schemas.openxmlformats.org/spreadsheetml/2006/main">
  <authors>
    <author>RZ</author>
    <author>Rimas</author>
  </authors>
  <commentList>
    <comment ref="C32" authorId="0">
      <text>
        <r>
          <rPr>
            <sz val="8"/>
            <rFont val="Tahoma"/>
            <family val="0"/>
          </rPr>
          <t xml:space="preserve">Visos investicijos per gyvenimo laiką T - diskontuotų metinių sąnaudų suma. Investicijos gali būti įvedamos ir į 0 metus.
</t>
        </r>
      </text>
    </comment>
    <comment ref="C52" authorId="0">
      <text>
        <r>
          <rPr>
            <sz val="8"/>
            <rFont val="Tahoma"/>
            <family val="0"/>
          </rPr>
          <t xml:space="preserve">Visos eksploatacinės sąnaudos per projekto gyvenimo trukmę T - diskontuotų metinių sąnaudų suma.
</t>
        </r>
      </text>
    </comment>
    <comment ref="C31" authorId="0">
      <text>
        <r>
          <rPr>
            <sz val="8"/>
            <rFont val="Tahoma"/>
            <family val="0"/>
          </rPr>
          <t xml:space="preserve">Į mėlynus laukus duomenys neįvedami. Šiam lauke paruoštos sąnaudos S formulei.
</t>
        </r>
      </text>
    </comment>
    <comment ref="C70"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29" authorId="1">
      <text>
        <r>
          <rPr>
            <sz val="8"/>
            <rFont val="Tahoma"/>
            <family val="0"/>
          </rPr>
          <t xml:space="preserve">Visos metinės išlaidos laikomos įvykusiomis tų metų pabaigoje ir diskontuojamos į projekto pradžią (0 metų pabaigą = 1 metų pradžią).
</t>
        </r>
      </text>
    </comment>
    <comment ref="C28" authorId="1">
      <text>
        <r>
          <rPr>
            <sz val="8"/>
            <rFont val="Tahoma"/>
            <family val="0"/>
          </rPr>
          <t xml:space="preserve">Nuo 1 iki max 50 metų imtinai. 
</t>
        </r>
      </text>
    </comment>
    <comment ref="C45" authorId="0">
      <text>
        <r>
          <rPr>
            <sz val="8"/>
            <rFont val="Tahoma"/>
            <family val="2"/>
          </rPr>
          <t>Per TIKRĄJĄ tinklo gyvenimo trukmę (pvz 40 metų).</t>
        </r>
      </text>
    </comment>
    <comment ref="C46"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33" authorId="0">
      <text>
        <r>
          <rPr>
            <sz val="8"/>
            <rFont val="Tahoma"/>
            <family val="2"/>
          </rPr>
          <t>Sumuoti nediskontuotas sąnaudas iš žemiau esančių eilučių visame skyriuje "Investicijos".</t>
        </r>
      </text>
    </comment>
    <comment ref="A53"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comments4.xml><?xml version="1.0" encoding="utf-8"?>
<comments xmlns="http://schemas.openxmlformats.org/spreadsheetml/2006/main">
  <authors>
    <author>RZ</author>
    <author>Rimas</author>
  </authors>
  <commentList>
    <comment ref="C32" authorId="0">
      <text>
        <r>
          <rPr>
            <sz val="8"/>
            <rFont val="Tahoma"/>
            <family val="0"/>
          </rPr>
          <t xml:space="preserve">Visos investicijos per gyvenimo laiką T - diskontuotų metinių sąnaudų suma. Investicijos gali būti įvedamos ir į 0 metus.
</t>
        </r>
      </text>
    </comment>
    <comment ref="C55" authorId="0">
      <text>
        <r>
          <rPr>
            <sz val="8"/>
            <rFont val="Tahoma"/>
            <family val="0"/>
          </rPr>
          <t xml:space="preserve">Visos eksploatacinės sąnaudos per projekto gyvenimo trukmę T - diskontuotų metinių sąnaudų suma.
</t>
        </r>
      </text>
    </comment>
    <comment ref="C31" authorId="0">
      <text>
        <r>
          <rPr>
            <sz val="8"/>
            <rFont val="Tahoma"/>
            <family val="0"/>
          </rPr>
          <t xml:space="preserve">Į mėlynus laukus duomenys neįvedami. Šiam lauke paruoštos sąnaudos S formulei.
</t>
        </r>
      </text>
    </comment>
    <comment ref="C73"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29" authorId="1">
      <text>
        <r>
          <rPr>
            <sz val="8"/>
            <rFont val="Tahoma"/>
            <family val="0"/>
          </rPr>
          <t xml:space="preserve">Visos metinės išlaidos laikomos įvykusiomis tų metų pabaigoje ir diskontuojamos į projekto pradžią (0 metų pabaigą = 1 metų pradžią).
</t>
        </r>
      </text>
    </comment>
    <comment ref="C28" authorId="1">
      <text>
        <r>
          <rPr>
            <sz val="8"/>
            <rFont val="Tahoma"/>
            <family val="0"/>
          </rPr>
          <t xml:space="preserve">Nuo 1 iki max 50 metų imtinai. 
</t>
        </r>
      </text>
    </comment>
    <comment ref="C45" authorId="0">
      <text>
        <r>
          <rPr>
            <sz val="8"/>
            <rFont val="Tahoma"/>
            <family val="2"/>
          </rPr>
          <t>Per TIKRĄJĄ tinklo gyvenimo trukmę (pvz 40 metų).</t>
        </r>
      </text>
    </comment>
    <comment ref="C46"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33" authorId="0">
      <text>
        <r>
          <rPr>
            <sz val="8"/>
            <rFont val="Tahoma"/>
            <family val="2"/>
          </rPr>
          <t>Sumuoti nediskontuotas sąnaudas iš žemiau esančių eilučių visame skyriuje "Investicijos".</t>
        </r>
      </text>
    </comment>
    <comment ref="A56"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comments5.xml><?xml version="1.0" encoding="utf-8"?>
<comments xmlns="http://schemas.openxmlformats.org/spreadsheetml/2006/main">
  <authors>
    <author>RZ</author>
    <author>Rimas</author>
  </authors>
  <commentList>
    <comment ref="C32" authorId="0">
      <text>
        <r>
          <rPr>
            <sz val="8"/>
            <rFont val="Tahoma"/>
            <family val="0"/>
          </rPr>
          <t xml:space="preserve">Visos investicijos per gyvenimo laiką T - diskontuotų metinių sąnaudų suma. Investicijos gali būti įvedamos ir į 0 metus.
</t>
        </r>
      </text>
    </comment>
    <comment ref="C55" authorId="0">
      <text>
        <r>
          <rPr>
            <sz val="8"/>
            <rFont val="Tahoma"/>
            <family val="0"/>
          </rPr>
          <t xml:space="preserve">Visos eksploatacinės sąnaudos per projekto gyvenimo trukmę T - diskontuotų metinių sąnaudų suma.
</t>
        </r>
      </text>
    </comment>
    <comment ref="C31" authorId="0">
      <text>
        <r>
          <rPr>
            <sz val="8"/>
            <rFont val="Tahoma"/>
            <family val="0"/>
          </rPr>
          <t xml:space="preserve">Į mėlynus laukus duomenys neįvedami. Šiam lauke paruoštos sąnaudos S formulei.
</t>
        </r>
      </text>
    </comment>
    <comment ref="C73" authorId="0">
      <text>
        <r>
          <rPr>
            <sz val="8"/>
            <rFont val="Tahoma"/>
            <family val="0"/>
          </rPr>
          <t xml:space="preserve">Paruošta formulei Q. Realizacija </t>
        </r>
        <r>
          <rPr>
            <b/>
            <sz val="8"/>
            <rFont val="Tahoma"/>
            <family val="2"/>
          </rPr>
          <t>per 1 metus !</t>
        </r>
        <r>
          <rPr>
            <sz val="8"/>
            <rFont val="Tahoma"/>
            <family val="0"/>
          </rPr>
          <t xml:space="preserve">
Priimta prielaida, kad per visą projekto gyvenimo trukmę metinė realizuotos (parduotos) šilumos apimtis yra ta pati kiekvienais metais. Jei šios apimtys nevienodos, matyt reikia įvesti perskaičiavimo koeficientą gauti ekvivalentiškam ir vienodam metiniam šilumos kiekiui.</t>
        </r>
      </text>
    </comment>
    <comment ref="D29" authorId="1">
      <text>
        <r>
          <rPr>
            <sz val="8"/>
            <rFont val="Tahoma"/>
            <family val="0"/>
          </rPr>
          <t xml:space="preserve">Visos metinės išlaidos laikomos įvykusiomis tų metų pabaigoje ir diskontuojamos į projekto pradžią (0 metų pabaigą = 1 metų pradžią).
</t>
        </r>
      </text>
    </comment>
    <comment ref="C28" authorId="1">
      <text>
        <r>
          <rPr>
            <sz val="8"/>
            <rFont val="Tahoma"/>
            <family val="0"/>
          </rPr>
          <t xml:space="preserve">Nuo 1 iki max 50 metų imtinai. 
</t>
        </r>
      </text>
    </comment>
    <comment ref="C45" authorId="0">
      <text>
        <r>
          <rPr>
            <sz val="8"/>
            <rFont val="Tahoma"/>
            <family val="2"/>
          </rPr>
          <t>Per TIKRĄJĄ tinklo gyvenimo trukmę (pvz 40 metų).</t>
        </r>
      </text>
    </comment>
    <comment ref="C46" authorId="0">
      <text>
        <r>
          <rPr>
            <sz val="8"/>
            <rFont val="Tahoma"/>
            <family val="2"/>
          </rPr>
          <t xml:space="preserve">Jei TIKROJI šios investicijos gyvenimo trukmė T yra didesnė už projekto gyvenimo trukmę (C7 laukas), tai visas sąnaudas per TIKRĄJĄ gyvenimo trukmę T reikia dauginti iš šio koef, kuris parodo kokia visų sąnaudų dalis patiriama per PROJEKTO gyvenimo trukmę.  </t>
        </r>
        <r>
          <rPr>
            <sz val="8"/>
            <rFont val="Tahoma"/>
            <family val="0"/>
          </rPr>
          <t xml:space="preserve">
</t>
        </r>
      </text>
    </comment>
    <comment ref="A33" authorId="0">
      <text>
        <r>
          <rPr>
            <sz val="8"/>
            <rFont val="Tahoma"/>
            <family val="2"/>
          </rPr>
          <t>Sumuoti nediskontuotas sąnaudas iš žemiau esančių eilučių visame skyriuje "Investicijos".</t>
        </r>
      </text>
    </comment>
    <comment ref="A56" authorId="0">
      <text>
        <r>
          <rPr>
            <sz val="8"/>
            <rFont val="Tahoma"/>
            <family val="2"/>
          </rPr>
          <t xml:space="preserve">Sumuoti nediskontuotas sąnaudas iš žemiau esančių eilučių visame skyriuje "Eksploatacinės išlaidos".
</t>
        </r>
      </text>
    </comment>
    <comment ref="A1" authorId="0">
      <text>
        <r>
          <rPr>
            <sz val="8"/>
            <rFont val="Tahoma"/>
            <family val="2"/>
          </rPr>
          <t xml:space="preserve">Modelis parengtas 2011 03 03
</t>
        </r>
      </text>
    </comment>
  </commentList>
</comments>
</file>

<file path=xl/sharedStrings.xml><?xml version="1.0" encoding="utf-8"?>
<sst xmlns="http://schemas.openxmlformats.org/spreadsheetml/2006/main" count="487" uniqueCount="82">
  <si>
    <t>Rodiklis</t>
  </si>
  <si>
    <t>Mat. vienetas</t>
  </si>
  <si>
    <t>Diskonto norma</t>
  </si>
  <si>
    <t>%</t>
  </si>
  <si>
    <t>Šilumos gamybos būdas:</t>
  </si>
  <si>
    <t>Metai:</t>
  </si>
  <si>
    <t>metų</t>
  </si>
  <si>
    <t>kWh</t>
  </si>
  <si>
    <t xml:space="preserve">1 kWh realizuotos šilumos savikaina </t>
  </si>
  <si>
    <t>ct/kWh</t>
  </si>
  <si>
    <t xml:space="preserve">     Investicijos:</t>
  </si>
  <si>
    <t>A) Katilinė</t>
  </si>
  <si>
    <t>B) Tinklas</t>
  </si>
  <si>
    <t>C) Kitos investicijos</t>
  </si>
  <si>
    <t>D) Kuras</t>
  </si>
  <si>
    <t>E) Elektros energija</t>
  </si>
  <si>
    <t xml:space="preserve">     Eksploatacinės išlaidos:</t>
  </si>
  <si>
    <t>G) Kitos eksploatacinės išlaidos</t>
  </si>
  <si>
    <t>Lt</t>
  </si>
  <si>
    <t>F) Darbo užmokestis (su soc. draudimu)</t>
  </si>
  <si>
    <t>Tinklo gyvenimo trukmė</t>
  </si>
  <si>
    <t>Tinklo diskontuotų sąnaudų suma =</t>
  </si>
  <si>
    <t>Sąnaudos (Investicijos + Eksploatacinės):</t>
  </si>
  <si>
    <t>Projekto gyvenimo trukmė (katilai ir pagrindiniai technologiniai įrengimai)</t>
  </si>
  <si>
    <t>Koeficientas perskaičiavimui į projekto gyvenimo trukmę</t>
  </si>
  <si>
    <r>
      <t xml:space="preserve">                            </t>
    </r>
    <r>
      <rPr>
        <i/>
        <sz val="12"/>
        <rFont val="Arial"/>
        <family val="2"/>
      </rPr>
      <t>Investicijos VISO - nediskontuotos:</t>
    </r>
  </si>
  <si>
    <r>
      <t xml:space="preserve">      </t>
    </r>
    <r>
      <rPr>
        <i/>
        <sz val="12"/>
        <rFont val="Arial"/>
        <family val="2"/>
      </rPr>
      <t>Eksploatacinės išlaidos VISO - nediskontuotos:</t>
    </r>
  </si>
  <si>
    <t>Realizuota (parduota) šilumos</t>
  </si>
  <si>
    <t>Išeities duomenys ir prielaidos:</t>
  </si>
  <si>
    <t>Patiektos (realizuotos) šilumos savikainos skaičiavimas</t>
  </si>
  <si>
    <t xml:space="preserve">6 variantas. Šilumos tiekimo sistemos įrengimas Preiloje </t>
  </si>
  <si>
    <t>Prie tinklo prijungtų individualių gyvenamųjų namų skaičius</t>
  </si>
  <si>
    <t>Namų</t>
  </si>
  <si>
    <t>Vidutinis vieno namo šildomas plotas</t>
  </si>
  <si>
    <r>
      <t>m</t>
    </r>
    <r>
      <rPr>
        <vertAlign val="superscript"/>
        <sz val="10"/>
        <rFont val="Arial"/>
        <family val="2"/>
      </rPr>
      <t>2</t>
    </r>
  </si>
  <si>
    <r>
      <t>Vidutinis metinis šilumos suvartojimas 1 m</t>
    </r>
    <r>
      <rPr>
        <vertAlign val="superscript"/>
        <sz val="10"/>
        <rFont val="Arial"/>
        <family val="2"/>
      </rPr>
      <t>2</t>
    </r>
    <r>
      <rPr>
        <sz val="10"/>
        <rFont val="Arial"/>
        <family val="0"/>
      </rPr>
      <t xml:space="preserve"> šildomo ploto vien tik šildymui</t>
    </r>
  </si>
  <si>
    <r>
      <t>kWh/m</t>
    </r>
    <r>
      <rPr>
        <vertAlign val="superscript"/>
        <sz val="10"/>
        <rFont val="Arial"/>
        <family val="2"/>
      </rPr>
      <t xml:space="preserve">2 </t>
    </r>
    <r>
      <rPr>
        <sz val="10"/>
        <rFont val="Arial"/>
        <family val="2"/>
      </rPr>
      <t>metus</t>
    </r>
  </si>
  <si>
    <t>Vidutinis karšto vandens kiekis, suvartojamas 1 name per mėnesį</t>
  </si>
  <si>
    <r>
      <t>m</t>
    </r>
    <r>
      <rPr>
        <vertAlign val="superscript"/>
        <sz val="10"/>
        <rFont val="Arial"/>
        <family val="2"/>
      </rPr>
      <t>3</t>
    </r>
  </si>
  <si>
    <t xml:space="preserve">Preiloje įrengiama 0.35 MW galios medžio skiedrų katilinė ir maždaug 1.7 km ilgio paskirstymo tinklas, prie kurio prijungiama apie 50 individualių gyvenamųjų namų. Gyvenamieji namai perka šilumą šildymui ir buitiniam karštam vandeniui ruošti. Katilinę aptarnauja 1 darbuotojas 3 pamainomis.  </t>
  </si>
  <si>
    <t>Tūkst Lt</t>
  </si>
  <si>
    <t>Tinklo statyba</t>
  </si>
  <si>
    <t>Įvado į vieną namą įrengimas</t>
  </si>
  <si>
    <t>Medienos skiedrų kaina</t>
  </si>
  <si>
    <t>Medienos skiedrų žemutinė šiluminė vertė</t>
  </si>
  <si>
    <t xml:space="preserve">Medienos skiedrų katilo gyvenimo laikas </t>
  </si>
  <si>
    <t xml:space="preserve">Medienos skiedrų katilo NVK prie nominalios galios </t>
  </si>
  <si>
    <t>Tūkst.Lt/t</t>
  </si>
  <si>
    <t>kcal/kg</t>
  </si>
  <si>
    <t>Metų</t>
  </si>
  <si>
    <t>Instaliuota elektros galia</t>
  </si>
  <si>
    <t>Elektros kaina</t>
  </si>
  <si>
    <t>Darbuotojo mėnesinis atlyginimas brutto</t>
  </si>
  <si>
    <t>kW</t>
  </si>
  <si>
    <t>Lt/mėn</t>
  </si>
  <si>
    <t>Tūkst.Lt</t>
  </si>
  <si>
    <t xml:space="preserve">   tas pats, įvertinus 40 m. tinklo gyvenimo laikotarpį</t>
  </si>
  <si>
    <t>Įvadų į gyvenamuosius namus įrengimas</t>
  </si>
  <si>
    <t>Medienos skiedrų katilų kaina</t>
  </si>
  <si>
    <r>
      <t xml:space="preserve">Katilinės statyba (pastatas su  įrengimais, kaminu, </t>
    </r>
    <r>
      <rPr>
        <b/>
        <sz val="10"/>
        <rFont val="Arial"/>
        <family val="2"/>
      </rPr>
      <t>be katilų</t>
    </r>
    <r>
      <rPr>
        <sz val="10"/>
        <rFont val="Arial"/>
        <family val="0"/>
      </rPr>
      <t>)</t>
    </r>
  </si>
  <si>
    <t>MWh/metus</t>
  </si>
  <si>
    <t>Medienos skiedrų poreikis</t>
  </si>
  <si>
    <t>t/metus</t>
  </si>
  <si>
    <t xml:space="preserve">Išlaidos medienos skiedroms pirkti </t>
  </si>
  <si>
    <t>Tūkst.Lt/metus</t>
  </si>
  <si>
    <t>Šilumos gamyba</t>
  </si>
  <si>
    <t>Cirkuliaciniams siurbliams ir kt.</t>
  </si>
  <si>
    <t>kWh/metus</t>
  </si>
  <si>
    <t>Išlaidos elektros energijai</t>
  </si>
  <si>
    <t>Lt/metus</t>
  </si>
  <si>
    <t xml:space="preserve">4 darbuotojų darbo užmokesčio fondas (su soc. draudimu) </t>
  </si>
  <si>
    <r>
      <t xml:space="preserve">Katilinės statybos kaina (pastatas </t>
    </r>
    <r>
      <rPr>
        <b/>
        <sz val="10"/>
        <rFont val="Arial"/>
        <family val="2"/>
      </rPr>
      <t>be katilų</t>
    </r>
    <r>
      <rPr>
        <sz val="10"/>
        <rFont val="Arial"/>
        <family val="0"/>
      </rPr>
      <t>, bet su visais kitais įrengimais ir kaminu)</t>
    </r>
  </si>
  <si>
    <t>Katilų kaina</t>
  </si>
  <si>
    <t>1 finansavimo planas</t>
  </si>
  <si>
    <t>2 finansavimo planas</t>
  </si>
  <si>
    <t>3 finansavimo planas</t>
  </si>
  <si>
    <t>4 finansavimo planas</t>
  </si>
  <si>
    <t>5 finansavimo planas</t>
  </si>
  <si>
    <t>Paskola</t>
  </si>
  <si>
    <t>Paskolos aptarnavimas (grąžinimai + 10% palūkanos)</t>
  </si>
  <si>
    <t>Paskolos administravimo mokestis (1% nuo paskolos sumos)</t>
  </si>
  <si>
    <t>Paskolos aptarnavimas (grąžinimai + 8% palūkanos)</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</si>
</sst>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s>
  <fonts count="52">
    <font>
      <sz val="10"/>
      <name val="Arial"/>
      <family val="0"/>
    </font>
    <font>
      <sz val="12"/>
      <name val="Arial"/>
      <family val="0"/>
    </font>
    <font>
      <sz val="14"/>
      <name val="Arial"/>
      <family val="0"/>
    </font>
    <font>
      <sz val="8"/>
      <name val="Arial"/>
      <family val="0"/>
    </font>
    <font>
      <sz val="11"/>
      <name val="Arial"/>
      <family val="2"/>
    </font>
    <font>
      <b/>
      <sz val="10"/>
      <name val="Arial"/>
      <family val="2"/>
    </font>
    <font>
      <i/>
      <sz val="10"/>
      <name val="Arial"/>
      <family val="2"/>
    </font>
    <font>
      <u val="single"/>
      <sz val="10"/>
      <name val="Arial"/>
      <family val="0"/>
    </font>
    <font>
      <i/>
      <sz val="12"/>
      <name val="Arial"/>
      <family val="2"/>
    </font>
    <font>
      <sz val="8"/>
      <name val="Tahoma"/>
      <family val="0"/>
    </font>
    <font>
      <b/>
      <sz val="8"/>
      <name val="Tahoma"/>
      <family val="2"/>
    </font>
    <font>
      <sz val="10"/>
      <color indexed="40"/>
      <name val="Arial"/>
      <family val="0"/>
    </font>
    <font>
      <b/>
      <sz val="12"/>
      <name val="Arial"/>
      <family val="2"/>
    </font>
    <font>
      <i/>
      <sz val="14"/>
      <color indexed="12"/>
      <name val="Arial"/>
      <family val="2"/>
    </font>
    <font>
      <sz val="16"/>
      <name val="Arial"/>
      <family val="0"/>
    </font>
    <font>
      <sz val="11"/>
      <color indexed="12"/>
      <name val="Arial"/>
      <family val="0"/>
    </font>
    <font>
      <vertAlign val="superscript"/>
      <sz val="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5"/>
      <color theme="3"/>
      <name val="Calibri"/>
      <family val="2"/>
    </font>
    <font>
      <b/>
      <sz val="13"/>
      <color theme="3"/>
      <name val="Calibri"/>
      <family val="2"/>
    </font>
    <font>
      <sz val="11"/>
      <color theme="1"/>
      <name val="Calibri"/>
      <family val="2"/>
    </font>
    <font>
      <b/>
      <sz val="11"/>
      <color theme="3"/>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5700"/>
      <name val="Calibri"/>
      <family val="2"/>
    </font>
    <font>
      <sz val="11"/>
      <color theme="0"/>
      <name val="Calibri"/>
      <family val="2"/>
    </font>
    <font>
      <sz val="18"/>
      <color theme="3"/>
      <name val="Calibri Light"/>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s>
  <borders count="3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double"/>
      <top style="double"/>
      <bottom style="double"/>
    </border>
    <border>
      <left style="medium"/>
      <right style="medium"/>
      <top style="medium"/>
      <bottom style="medium"/>
    </border>
    <border>
      <left style="thin"/>
      <right style="thin"/>
      <top style="thin"/>
      <bottom style="thin"/>
    </border>
    <border>
      <left style="thin"/>
      <right style="medium"/>
      <top style="thin"/>
      <bottom style="thin"/>
    </border>
    <border>
      <left>
        <color indexed="63"/>
      </left>
      <right>
        <color indexed="63"/>
      </right>
      <top>
        <color indexed="63"/>
      </top>
      <bottom style="thin"/>
    </border>
    <border>
      <left style="thin"/>
      <right style="thin"/>
      <top style="thin"/>
      <bottom>
        <color indexed="63"/>
      </bottom>
    </border>
    <border>
      <left style="thin"/>
      <right style="hair"/>
      <top style="double"/>
      <bottom style="double"/>
    </border>
    <border>
      <left style="thin"/>
      <right style="double"/>
      <top style="medium"/>
      <bottom style="double"/>
    </border>
    <border>
      <left style="double"/>
      <right style="hair"/>
      <top style="double"/>
      <bottom style="double"/>
    </border>
    <border>
      <left style="hair"/>
      <right>
        <color indexed="63"/>
      </right>
      <top style="double"/>
      <bottom style="double"/>
    </border>
    <border>
      <left style="medium"/>
      <right style="medium"/>
      <top style="medium"/>
      <bottom style="thin"/>
    </border>
    <border>
      <left style="medium"/>
      <right style="medium"/>
      <top style="thin"/>
      <bottom style="medium"/>
    </border>
    <border>
      <left style="double"/>
      <right style="double"/>
      <top style="double"/>
      <bottom style="double"/>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color indexed="63"/>
      </right>
      <top style="double"/>
      <bottom>
        <color indexed="63"/>
      </bottom>
    </border>
    <border>
      <left>
        <color indexed="63"/>
      </left>
      <right style="medium"/>
      <top style="double"/>
      <bottom>
        <color indexed="63"/>
      </botto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7" fillId="0" borderId="3" applyNumberFormat="0" applyFill="0" applyAlignment="0" applyProtection="0"/>
    <xf numFmtId="0" fontId="37" fillId="0" borderId="0" applyNumberFormat="0" applyFill="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8" fillId="0" borderId="0" applyNumberFormat="0" applyFill="0" applyBorder="0" applyAlignment="0" applyProtection="0"/>
    <xf numFmtId="0" fontId="39" fillId="20" borderId="0" applyNumberFormat="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0" fontId="42" fillId="22" borderId="4" applyNumberFormat="0" applyAlignment="0" applyProtection="0"/>
    <xf numFmtId="0" fontId="43"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0" fillId="31" borderId="6" applyNumberFormat="0" applyFont="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22" borderId="5"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7">
    <xf numFmtId="0" fontId="0" fillId="0" borderId="0" xfId="0" applyAlignment="1">
      <alignment/>
    </xf>
    <xf numFmtId="0" fontId="1" fillId="0" borderId="0" xfId="0" applyFont="1" applyFill="1" applyAlignment="1">
      <alignment/>
    </xf>
    <xf numFmtId="0" fontId="0" fillId="0" borderId="0" xfId="0" applyFill="1" applyAlignment="1">
      <alignment/>
    </xf>
    <xf numFmtId="0" fontId="0" fillId="0" borderId="0" xfId="0" applyBorder="1" applyAlignment="1">
      <alignment/>
    </xf>
    <xf numFmtId="0" fontId="0" fillId="0" borderId="10" xfId="0" applyBorder="1" applyAlignment="1">
      <alignment horizontal="center"/>
    </xf>
    <xf numFmtId="0" fontId="2" fillId="0" borderId="0" xfId="0" applyFont="1" applyFill="1" applyAlignment="1">
      <alignment/>
    </xf>
    <xf numFmtId="0" fontId="5" fillId="0" borderId="0" xfId="0" applyFont="1" applyAlignment="1">
      <alignment/>
    </xf>
    <xf numFmtId="0" fontId="6" fillId="0" borderId="0" xfId="0" applyFont="1" applyAlignment="1">
      <alignment/>
    </xf>
    <xf numFmtId="0" fontId="0" fillId="0" borderId="0" xfId="0" applyAlignment="1">
      <alignment horizontal="center"/>
    </xf>
    <xf numFmtId="0" fontId="7" fillId="0" borderId="0" xfId="0" applyFont="1" applyAlignment="1">
      <alignment/>
    </xf>
    <xf numFmtId="0" fontId="0" fillId="0" borderId="0" xfId="0" applyAlignment="1">
      <alignment wrapText="1"/>
    </xf>
    <xf numFmtId="0" fontId="0" fillId="0" borderId="0" xfId="0" applyAlignment="1">
      <alignment horizontal="left"/>
    </xf>
    <xf numFmtId="0" fontId="0" fillId="0" borderId="0" xfId="0" applyFill="1" applyBorder="1" applyAlignment="1">
      <alignment/>
    </xf>
    <xf numFmtId="0" fontId="0" fillId="0" borderId="0" xfId="0" applyFont="1" applyAlignment="1">
      <alignment/>
    </xf>
    <xf numFmtId="0" fontId="0" fillId="0" borderId="0" xfId="0" applyFont="1" applyAlignment="1">
      <alignment wrapText="1"/>
    </xf>
    <xf numFmtId="0" fontId="11" fillId="0" borderId="0" xfId="0" applyFont="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horizontal="center"/>
    </xf>
    <xf numFmtId="0" fontId="0" fillId="33" borderId="12" xfId="0" applyFill="1" applyBorder="1" applyAlignment="1">
      <alignment wrapText="1"/>
    </xf>
    <xf numFmtId="0" fontId="8" fillId="33" borderId="12" xfId="0" applyFont="1" applyFill="1" applyBorder="1" applyAlignment="1">
      <alignment/>
    </xf>
    <xf numFmtId="0" fontId="0" fillId="33" borderId="0" xfId="0" applyFill="1" applyBorder="1" applyAlignment="1">
      <alignment horizontal="center"/>
    </xf>
    <xf numFmtId="0" fontId="0" fillId="33" borderId="0" xfId="0" applyFill="1" applyAlignment="1">
      <alignment horizontal="center"/>
    </xf>
    <xf numFmtId="0" fontId="0" fillId="33" borderId="0" xfId="0" applyFill="1" applyAlignment="1">
      <alignment wrapText="1"/>
    </xf>
    <xf numFmtId="0" fontId="0" fillId="0" borderId="14" xfId="0" applyBorder="1" applyAlignment="1">
      <alignment/>
    </xf>
    <xf numFmtId="0" fontId="4" fillId="33" borderId="15" xfId="0" applyFont="1" applyFill="1" applyBorder="1" applyAlignment="1">
      <alignment/>
    </xf>
    <xf numFmtId="0" fontId="13" fillId="33" borderId="0" xfId="0" applyFont="1" applyFill="1" applyAlignment="1">
      <alignment/>
    </xf>
    <xf numFmtId="0" fontId="0" fillId="34" borderId="0" xfId="0" applyFill="1" applyAlignment="1">
      <alignment/>
    </xf>
    <xf numFmtId="0" fontId="0" fillId="0" borderId="0" xfId="0" applyFill="1" applyBorder="1" applyAlignment="1">
      <alignment horizontal="center"/>
    </xf>
    <xf numFmtId="0" fontId="15" fillId="33" borderId="0" xfId="0" applyFont="1" applyFill="1" applyAlignment="1">
      <alignment horizontal="center"/>
    </xf>
    <xf numFmtId="0" fontId="1" fillId="35" borderId="0" xfId="0" applyFont="1" applyFill="1" applyAlignment="1">
      <alignment/>
    </xf>
    <xf numFmtId="0" fontId="0" fillId="35" borderId="0" xfId="0" applyFill="1" applyAlignment="1">
      <alignment/>
    </xf>
    <xf numFmtId="0" fontId="0" fillId="0" borderId="0" xfId="0" applyFont="1" applyFill="1" applyBorder="1" applyAlignment="1">
      <alignment horizontal="left" vertical="top"/>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16" xfId="0" applyBorder="1" applyAlignment="1">
      <alignment horizontal="center"/>
    </xf>
    <xf numFmtId="0" fontId="0" fillId="33" borderId="17" xfId="0" applyFont="1" applyFill="1" applyBorder="1" applyAlignment="1">
      <alignment horizontal="center" vertical="top"/>
    </xf>
    <xf numFmtId="0" fontId="0" fillId="0" borderId="0" xfId="0" applyBorder="1" applyAlignment="1">
      <alignment horizontal="left" vertical="top"/>
    </xf>
    <xf numFmtId="0" fontId="12" fillId="33" borderId="18" xfId="0" applyFont="1" applyFill="1" applyBorder="1" applyAlignment="1">
      <alignment/>
    </xf>
    <xf numFmtId="0" fontId="1" fillId="33" borderId="19" xfId="0" applyFont="1" applyFill="1" applyBorder="1" applyAlignment="1">
      <alignment horizontal="center"/>
    </xf>
    <xf numFmtId="0" fontId="0" fillId="33" borderId="13" xfId="0" applyFill="1" applyBorder="1" applyAlignment="1">
      <alignment horizontal="center" vertical="center"/>
    </xf>
    <xf numFmtId="0" fontId="4" fillId="33" borderId="20" xfId="0" applyFont="1" applyFill="1" applyBorder="1" applyAlignment="1">
      <alignment vertical="center"/>
    </xf>
    <xf numFmtId="0" fontId="4" fillId="33" borderId="21" xfId="0" applyFont="1" applyFill="1" applyBorder="1" applyAlignment="1">
      <alignment vertical="center"/>
    </xf>
    <xf numFmtId="0" fontId="0" fillId="0" borderId="0" xfId="0" applyFont="1" applyBorder="1" applyAlignment="1">
      <alignment horizontal="right" vertical="top"/>
    </xf>
    <xf numFmtId="0" fontId="0" fillId="0" borderId="0" xfId="0" applyFont="1" applyFill="1" applyBorder="1" applyAlignment="1">
      <alignment horizontal="right" vertical="top"/>
    </xf>
    <xf numFmtId="0" fontId="0" fillId="36" borderId="0" xfId="0" applyFill="1" applyAlignment="1">
      <alignment/>
    </xf>
    <xf numFmtId="0" fontId="0" fillId="36" borderId="0" xfId="0" applyFill="1" applyAlignment="1">
      <alignment horizontal="center"/>
    </xf>
    <xf numFmtId="0" fontId="0" fillId="36" borderId="0" xfId="0" applyFont="1" applyFill="1" applyAlignment="1">
      <alignment/>
    </xf>
    <xf numFmtId="2" fontId="0" fillId="0" borderId="0" xfId="0" applyNumberFormat="1" applyAlignment="1">
      <alignment/>
    </xf>
    <xf numFmtId="2" fontId="0" fillId="35" borderId="0" xfId="0" applyNumberFormat="1" applyFill="1" applyAlignment="1">
      <alignment/>
    </xf>
    <xf numFmtId="0" fontId="0" fillId="36" borderId="0" xfId="0" applyFont="1" applyFill="1" applyAlignment="1">
      <alignment/>
    </xf>
    <xf numFmtId="173" fontId="0" fillId="0" borderId="0" xfId="0" applyNumberFormat="1" applyAlignment="1">
      <alignment/>
    </xf>
    <xf numFmtId="172" fontId="0" fillId="36" borderId="0" xfId="0" applyNumberFormat="1" applyFill="1" applyAlignment="1">
      <alignment/>
    </xf>
    <xf numFmtId="173" fontId="0" fillId="36" borderId="0" xfId="0" applyNumberFormat="1" applyFill="1" applyAlignment="1">
      <alignment/>
    </xf>
    <xf numFmtId="0" fontId="14" fillId="35" borderId="0" xfId="0" applyFont="1" applyFill="1" applyBorder="1" applyAlignment="1">
      <alignment vertical="top"/>
    </xf>
    <xf numFmtId="0" fontId="0" fillId="0" borderId="0" xfId="0" applyAlignment="1">
      <alignment/>
    </xf>
    <xf numFmtId="0" fontId="0" fillId="37" borderId="0" xfId="0" applyFill="1" applyAlignment="1">
      <alignment/>
    </xf>
    <xf numFmtId="2" fontId="0" fillId="37" borderId="0" xfId="0" applyNumberFormat="1" applyFill="1" applyAlignment="1">
      <alignment/>
    </xf>
    <xf numFmtId="0" fontId="0" fillId="37" borderId="0" xfId="0" applyFont="1" applyFill="1" applyAlignment="1">
      <alignment vertical="center" wrapText="1"/>
    </xf>
    <xf numFmtId="0" fontId="0" fillId="37" borderId="0" xfId="0" applyFont="1" applyFill="1" applyAlignment="1">
      <alignment wrapText="1"/>
    </xf>
    <xf numFmtId="0" fontId="0" fillId="37" borderId="0" xfId="0" applyFill="1" applyAlignment="1">
      <alignment horizontal="center"/>
    </xf>
    <xf numFmtId="0" fontId="0" fillId="37" borderId="0" xfId="0" applyFill="1" applyBorder="1" applyAlignment="1">
      <alignment/>
    </xf>
    <xf numFmtId="2" fontId="0" fillId="37" borderId="0" xfId="0" applyNumberFormat="1" applyFill="1" applyBorder="1" applyAlignment="1">
      <alignment/>
    </xf>
    <xf numFmtId="173" fontId="1" fillId="33" borderId="22" xfId="0" applyNumberFormat="1" applyFont="1" applyFill="1" applyBorder="1" applyAlignment="1">
      <alignment/>
    </xf>
    <xf numFmtId="0" fontId="14" fillId="35" borderId="0" xfId="0" applyFont="1" applyFill="1" applyBorder="1" applyAlignment="1">
      <alignment vertical="top"/>
    </xf>
    <xf numFmtId="0" fontId="0" fillId="0" borderId="0" xfId="0" applyAlignment="1">
      <alignment/>
    </xf>
    <xf numFmtId="0" fontId="14" fillId="35" borderId="23" xfId="0" applyFont="1" applyFill="1" applyBorder="1" applyAlignment="1">
      <alignment vertical="top"/>
    </xf>
    <xf numFmtId="0" fontId="0" fillId="0" borderId="0" xfId="0" applyBorder="1" applyAlignment="1">
      <alignment vertical="top"/>
    </xf>
    <xf numFmtId="0" fontId="0" fillId="0" borderId="0" xfId="0" applyFont="1" applyFill="1" applyBorder="1" applyAlignment="1">
      <alignment horizontal="left" vertical="top"/>
    </xf>
    <xf numFmtId="0" fontId="0" fillId="0" borderId="0" xfId="0" applyBorder="1" applyAlignment="1">
      <alignment horizontal="left" vertical="top"/>
    </xf>
    <xf numFmtId="0" fontId="0" fillId="0" borderId="24" xfId="0" applyBorder="1" applyAlignment="1">
      <alignment horizontal="left" vertical="top"/>
    </xf>
    <xf numFmtId="0" fontId="0" fillId="0" borderId="0" xfId="0" applyAlignment="1">
      <alignment horizontal="left" vertical="top"/>
    </xf>
    <xf numFmtId="0" fontId="0" fillId="0" borderId="25" xfId="0" applyFont="1" applyFill="1" applyBorder="1" applyAlignment="1">
      <alignment horizontal="left" vertical="top" wrapText="1"/>
    </xf>
    <xf numFmtId="0" fontId="0" fillId="0" borderId="26" xfId="0" applyFont="1" applyBorder="1" applyAlignment="1">
      <alignment horizontal="left" vertical="top" wrapText="1"/>
    </xf>
    <xf numFmtId="0" fontId="0" fillId="0" borderId="27" xfId="0" applyFont="1" applyBorder="1" applyAlignment="1">
      <alignment horizontal="left" vertical="top" wrapText="1"/>
    </xf>
    <xf numFmtId="0" fontId="4" fillId="33" borderId="28" xfId="0" applyFont="1" applyFill="1" applyBorder="1" applyAlignment="1">
      <alignment horizontal="left" vertical="top"/>
    </xf>
    <xf numFmtId="0" fontId="4" fillId="0" borderId="29" xfId="0" applyFont="1" applyBorder="1" applyAlignment="1">
      <alignment vertical="top"/>
    </xf>
    <xf numFmtId="0" fontId="4" fillId="0" borderId="30" xfId="0" applyFont="1" applyBorder="1" applyAlignment="1">
      <alignment vertical="top"/>
    </xf>
    <xf numFmtId="0" fontId="0" fillId="0" borderId="31" xfId="0" applyFont="1" applyFill="1" applyBorder="1" applyAlignment="1">
      <alignment horizontal="left" vertical="top"/>
    </xf>
    <xf numFmtId="0" fontId="0" fillId="0" borderId="31" xfId="0" applyBorder="1" applyAlignment="1">
      <alignment horizontal="left" vertical="top"/>
    </xf>
    <xf numFmtId="0" fontId="0" fillId="0" borderId="32" xfId="0" applyBorder="1" applyAlignment="1">
      <alignment horizontal="left" vertical="top"/>
    </xf>
    <xf numFmtId="0" fontId="0" fillId="0" borderId="0" xfId="0" applyFont="1" applyFill="1" applyBorder="1" applyAlignment="1">
      <alignment horizontal="left" vertical="top" wrapText="1"/>
    </xf>
    <xf numFmtId="0" fontId="0" fillId="0" borderId="0" xfId="0" applyAlignment="1">
      <alignment horizontal="left" vertical="top" wrapText="1"/>
    </xf>
    <xf numFmtId="0" fontId="0" fillId="0" borderId="24" xfId="0" applyBorder="1" applyAlignment="1">
      <alignment horizontal="left" vertical="top" wrapText="1"/>
    </xf>
    <xf numFmtId="0" fontId="0" fillId="0" borderId="33" xfId="0" applyFont="1" applyFill="1"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B76"/>
  <sheetViews>
    <sheetView tabSelected="1" zoomScalePageLayoutView="0" workbookViewId="0" topLeftCell="A59">
      <selection activeCell="C76" sqref="C76"/>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 min="5" max="5" width="10.57421875" style="0" bestFit="1" customWidth="1"/>
    <col min="6" max="6" width="10.7109375" style="0" bestFit="1" customWidth="1"/>
    <col min="7" max="7" width="10.28125" style="0" customWidth="1"/>
    <col min="8" max="8" width="10.140625" style="0" customWidth="1"/>
    <col min="9" max="24" width="9.57421875" style="0" bestFit="1" customWidth="1"/>
  </cols>
  <sheetData>
    <row r="1" spans="1:5" ht="24" customHeight="1">
      <c r="A1" s="66" t="s">
        <v>29</v>
      </c>
      <c r="B1" s="67"/>
      <c r="C1" s="65"/>
      <c r="D1" s="65"/>
      <c r="E1" s="65"/>
    </row>
    <row r="2" spans="1:5" ht="24" customHeight="1">
      <c r="A2" s="64" t="s">
        <v>30</v>
      </c>
      <c r="B2" s="65"/>
      <c r="C2" s="65"/>
      <c r="D2" s="65"/>
      <c r="E2" s="65"/>
    </row>
    <row r="3" spans="1:5" ht="24" customHeight="1">
      <c r="A3" s="54" t="s">
        <v>73</v>
      </c>
      <c r="B3" s="55"/>
      <c r="C3" s="55"/>
      <c r="D3" s="55"/>
      <c r="E3" s="55"/>
    </row>
    <row r="4" spans="1:5" ht="12" customHeight="1">
      <c r="A4" s="5"/>
      <c r="B4" s="2"/>
      <c r="C4" s="2"/>
      <c r="D4" s="2"/>
      <c r="E4" s="2"/>
    </row>
    <row r="5" spans="1:5" ht="12" customHeight="1" thickBot="1">
      <c r="A5" s="25" t="s">
        <v>4</v>
      </c>
      <c r="B5" s="2"/>
      <c r="C5" s="2"/>
      <c r="D5" s="2"/>
      <c r="E5" s="2"/>
    </row>
    <row r="6" spans="1:9" ht="72.75" customHeight="1" thickBot="1">
      <c r="A6" s="72" t="s">
        <v>39</v>
      </c>
      <c r="B6" s="73"/>
      <c r="C6" s="73"/>
      <c r="D6" s="73"/>
      <c r="E6" s="73"/>
      <c r="F6" s="73"/>
      <c r="G6" s="73"/>
      <c r="H6" s="73"/>
      <c r="I6" s="74"/>
    </row>
    <row r="7" spans="1:9" ht="15" customHeight="1" thickBot="1">
      <c r="A7" s="75" t="s">
        <v>28</v>
      </c>
      <c r="B7" s="76"/>
      <c r="C7" s="77"/>
      <c r="D7" s="36" t="s">
        <v>1</v>
      </c>
      <c r="E7" s="33"/>
      <c r="F7" s="33"/>
      <c r="G7" s="33"/>
      <c r="H7" s="33"/>
      <c r="I7" s="33"/>
    </row>
    <row r="8" spans="1:11" ht="15" customHeight="1" thickTop="1">
      <c r="A8" s="78" t="s">
        <v>31</v>
      </c>
      <c r="B8" s="79"/>
      <c r="C8" s="80"/>
      <c r="D8" s="34" t="s">
        <v>32</v>
      </c>
      <c r="E8" s="43">
        <v>50</v>
      </c>
      <c r="F8" s="33"/>
      <c r="G8" s="43"/>
      <c r="H8" s="33"/>
      <c r="I8" s="33"/>
      <c r="J8" s="33"/>
      <c r="K8" s="33"/>
    </row>
    <row r="9" spans="1:11" ht="15" customHeight="1">
      <c r="A9" s="68" t="s">
        <v>33</v>
      </c>
      <c r="B9" s="69"/>
      <c r="C9" s="70"/>
      <c r="D9" s="34" t="s">
        <v>34</v>
      </c>
      <c r="E9" s="43">
        <v>120</v>
      </c>
      <c r="F9" s="33"/>
      <c r="G9" s="43"/>
      <c r="H9" s="33"/>
      <c r="I9" s="33"/>
      <c r="J9" s="33"/>
      <c r="K9" s="33"/>
    </row>
    <row r="10" spans="1:11" ht="15" customHeight="1">
      <c r="A10" s="81" t="s">
        <v>35</v>
      </c>
      <c r="B10" s="82"/>
      <c r="C10" s="83"/>
      <c r="D10" s="34" t="s">
        <v>36</v>
      </c>
      <c r="E10" s="43">
        <v>130</v>
      </c>
      <c r="F10" s="33"/>
      <c r="G10" s="43"/>
      <c r="H10" s="33"/>
      <c r="I10" s="33"/>
      <c r="J10" s="33"/>
      <c r="K10" s="33"/>
    </row>
    <row r="11" spans="1:11" ht="15" customHeight="1">
      <c r="A11" s="82" t="s">
        <v>37</v>
      </c>
      <c r="B11" s="82"/>
      <c r="C11" s="83"/>
      <c r="D11" s="34" t="s">
        <v>38</v>
      </c>
      <c r="E11" s="43">
        <v>3</v>
      </c>
      <c r="F11" s="33"/>
      <c r="G11" s="43"/>
      <c r="H11" s="33"/>
      <c r="I11" s="33"/>
      <c r="J11" s="33"/>
      <c r="K11" s="33"/>
    </row>
    <row r="12" spans="1:9" ht="15" customHeight="1">
      <c r="A12" s="68" t="s">
        <v>71</v>
      </c>
      <c r="B12" s="69"/>
      <c r="C12" s="70"/>
      <c r="D12" s="34" t="s">
        <v>40</v>
      </c>
      <c r="E12" s="43">
        <v>230</v>
      </c>
      <c r="F12" s="33"/>
      <c r="G12" s="33"/>
      <c r="H12" s="33"/>
      <c r="I12" s="33"/>
    </row>
    <row r="13" spans="1:9" ht="15" customHeight="1">
      <c r="A13" s="68" t="s">
        <v>72</v>
      </c>
      <c r="B13" s="71"/>
      <c r="C13" s="70"/>
      <c r="D13" s="34" t="s">
        <v>55</v>
      </c>
      <c r="E13" s="43">
        <v>65</v>
      </c>
      <c r="F13" s="33"/>
      <c r="G13" s="33"/>
      <c r="H13" s="33"/>
      <c r="I13" s="33"/>
    </row>
    <row r="14" spans="1:9" ht="15" customHeight="1">
      <c r="A14" s="68" t="s">
        <v>41</v>
      </c>
      <c r="B14" s="69"/>
      <c r="C14" s="70"/>
      <c r="D14" s="34" t="s">
        <v>40</v>
      </c>
      <c r="E14" s="43">
        <v>1200</v>
      </c>
      <c r="F14" s="33"/>
      <c r="G14" s="33"/>
      <c r="H14" s="33"/>
      <c r="I14" s="33"/>
    </row>
    <row r="15" spans="1:9" ht="15" customHeight="1">
      <c r="A15" s="68" t="s">
        <v>42</v>
      </c>
      <c r="B15" s="69"/>
      <c r="C15" s="70"/>
      <c r="D15" s="34" t="s">
        <v>40</v>
      </c>
      <c r="E15" s="43">
        <v>10</v>
      </c>
      <c r="F15" s="33"/>
      <c r="G15" s="33"/>
      <c r="H15" s="33"/>
      <c r="I15" s="33"/>
    </row>
    <row r="16" spans="1:9" ht="15" customHeight="1">
      <c r="A16" s="68" t="s">
        <v>43</v>
      </c>
      <c r="B16" s="69"/>
      <c r="C16" s="70"/>
      <c r="D16" s="34" t="s">
        <v>47</v>
      </c>
      <c r="E16" s="43">
        <f>0.25</f>
        <v>0.25</v>
      </c>
      <c r="F16" s="33"/>
      <c r="G16" s="33"/>
      <c r="H16" s="33"/>
      <c r="I16" s="33"/>
    </row>
    <row r="17" spans="1:9" ht="15" customHeight="1">
      <c r="A17" s="68" t="s">
        <v>44</v>
      </c>
      <c r="B17" s="71"/>
      <c r="C17" s="70"/>
      <c r="D17" s="34" t="s">
        <v>48</v>
      </c>
      <c r="E17" s="43">
        <v>2126</v>
      </c>
      <c r="F17" s="33"/>
      <c r="G17" s="33"/>
      <c r="H17" s="33"/>
      <c r="I17" s="33"/>
    </row>
    <row r="18" spans="1:9" ht="15" customHeight="1">
      <c r="A18" s="68" t="s">
        <v>45</v>
      </c>
      <c r="B18" s="69"/>
      <c r="C18" s="70"/>
      <c r="D18" s="34" t="s">
        <v>49</v>
      </c>
      <c r="E18" s="44">
        <v>10</v>
      </c>
      <c r="F18" s="33"/>
      <c r="G18" s="33"/>
      <c r="H18" s="33"/>
      <c r="I18" s="33"/>
    </row>
    <row r="19" spans="1:9" ht="15" customHeight="1">
      <c r="A19" s="68" t="s">
        <v>46</v>
      </c>
      <c r="B19" s="71"/>
      <c r="C19" s="70"/>
      <c r="D19" s="34" t="s">
        <v>3</v>
      </c>
      <c r="E19" s="43">
        <v>80</v>
      </c>
      <c r="F19" s="33"/>
      <c r="G19" s="33"/>
      <c r="H19" s="33"/>
      <c r="I19" s="33"/>
    </row>
    <row r="20" spans="1:9" ht="15" customHeight="1">
      <c r="A20" s="68" t="s">
        <v>50</v>
      </c>
      <c r="B20" s="69"/>
      <c r="C20" s="70"/>
      <c r="D20" s="34" t="s">
        <v>53</v>
      </c>
      <c r="E20" s="43">
        <v>2</v>
      </c>
      <c r="F20" s="33"/>
      <c r="G20" s="33"/>
      <c r="H20" s="33"/>
      <c r="I20" s="33"/>
    </row>
    <row r="21" spans="1:9" ht="15" customHeight="1">
      <c r="A21" s="68" t="s">
        <v>51</v>
      </c>
      <c r="B21" s="69"/>
      <c r="C21" s="70"/>
      <c r="D21" s="34" t="s">
        <v>9</v>
      </c>
      <c r="E21" s="43">
        <v>36.4</v>
      </c>
      <c r="F21" s="33"/>
      <c r="G21" s="33"/>
      <c r="H21" s="33"/>
      <c r="I21" s="33"/>
    </row>
    <row r="22" spans="1:9" ht="15" customHeight="1">
      <c r="A22" s="68" t="s">
        <v>52</v>
      </c>
      <c r="B22" s="69"/>
      <c r="C22" s="70"/>
      <c r="D22" s="34" t="s">
        <v>54</v>
      </c>
      <c r="E22" s="43">
        <v>1500</v>
      </c>
      <c r="F22" s="33"/>
      <c r="G22" s="33"/>
      <c r="H22" s="33"/>
      <c r="I22" s="33"/>
    </row>
    <row r="23" spans="1:9" ht="15" customHeight="1" thickBot="1">
      <c r="A23" s="84"/>
      <c r="B23" s="85"/>
      <c r="C23" s="86"/>
      <c r="D23" s="33"/>
      <c r="E23" s="33"/>
      <c r="F23" s="33"/>
      <c r="G23" s="33"/>
      <c r="H23" s="33"/>
      <c r="I23" s="33"/>
    </row>
    <row r="24" spans="1:9" ht="15" customHeight="1">
      <c r="A24" s="32"/>
      <c r="B24" s="37"/>
      <c r="C24" s="37"/>
      <c r="D24" s="33"/>
      <c r="E24" s="33"/>
      <c r="F24" s="33"/>
      <c r="G24" s="33"/>
      <c r="H24" s="33"/>
      <c r="I24" s="33"/>
    </row>
    <row r="25" spans="1:9" ht="15" customHeight="1">
      <c r="A25" s="32"/>
      <c r="B25" s="33"/>
      <c r="C25" s="33"/>
      <c r="D25" s="33"/>
      <c r="E25" s="33"/>
      <c r="F25" s="33"/>
      <c r="G25" s="33"/>
      <c r="H25" s="33"/>
      <c r="I25" s="33"/>
    </row>
    <row r="26" spans="1:5" ht="15" customHeight="1" thickBot="1">
      <c r="A26" s="1"/>
      <c r="B26" s="2"/>
      <c r="C26" s="2"/>
      <c r="D26" s="2"/>
      <c r="E26" s="2"/>
    </row>
    <row r="27" spans="1:3" ht="14.25" thickBot="1" thickTop="1">
      <c r="A27" s="35" t="s">
        <v>0</v>
      </c>
      <c r="B27" s="4" t="s">
        <v>1</v>
      </c>
      <c r="C27" s="3"/>
    </row>
    <row r="28" spans="1:3" ht="25.5" customHeight="1" thickTop="1">
      <c r="A28" s="19" t="s">
        <v>23</v>
      </c>
      <c r="B28" s="40" t="s">
        <v>6</v>
      </c>
      <c r="C28" s="41">
        <v>20</v>
      </c>
    </row>
    <row r="29" spans="1:54" ht="15" thickBot="1">
      <c r="A29" s="17" t="s">
        <v>2</v>
      </c>
      <c r="B29" s="40" t="s">
        <v>3</v>
      </c>
      <c r="C29" s="42">
        <v>8</v>
      </c>
      <c r="D29" s="15">
        <v>1</v>
      </c>
      <c r="E29" s="15">
        <f>1/(1+C29/100)</f>
        <v>0.9259259259259258</v>
      </c>
      <c r="F29" s="15">
        <f aca="true" t="shared" si="0" ref="F29:AK29">E29/(1+$C29/100)</f>
        <v>0.8573388203017831</v>
      </c>
      <c r="G29" s="15">
        <f t="shared" si="0"/>
        <v>0.7938322410201695</v>
      </c>
      <c r="H29" s="15">
        <f t="shared" si="0"/>
        <v>0.7350298527964532</v>
      </c>
      <c r="I29" s="15">
        <f t="shared" si="0"/>
        <v>0.6805831970337529</v>
      </c>
      <c r="J29" s="15">
        <f t="shared" si="0"/>
        <v>0.6301696268831045</v>
      </c>
      <c r="K29" s="15">
        <f t="shared" si="0"/>
        <v>0.5834903952621338</v>
      </c>
      <c r="L29" s="15">
        <f t="shared" si="0"/>
        <v>0.5402688845019756</v>
      </c>
      <c r="M29" s="15">
        <f t="shared" si="0"/>
        <v>0.5002489671314588</v>
      </c>
      <c r="N29" s="15">
        <f t="shared" si="0"/>
        <v>0.4631934880846841</v>
      </c>
      <c r="O29" s="15">
        <f t="shared" si="0"/>
        <v>0.4288828593376704</v>
      </c>
      <c r="P29" s="15">
        <f t="shared" si="0"/>
        <v>0.3971137586459911</v>
      </c>
      <c r="Q29" s="15">
        <f t="shared" si="0"/>
        <v>0.36769792467221396</v>
      </c>
      <c r="R29" s="15">
        <f t="shared" si="0"/>
        <v>0.3404610413631611</v>
      </c>
      <c r="S29" s="15">
        <f t="shared" si="0"/>
        <v>0.3152417049658899</v>
      </c>
      <c r="T29" s="15">
        <f t="shared" si="0"/>
        <v>0.2918904675610091</v>
      </c>
      <c r="U29" s="15">
        <f t="shared" si="0"/>
        <v>0.27026895144537877</v>
      </c>
      <c r="V29" s="15">
        <f t="shared" si="0"/>
        <v>0.2502490291160914</v>
      </c>
      <c r="W29" s="15">
        <f t="shared" si="0"/>
        <v>0.23171206399638095</v>
      </c>
      <c r="X29" s="15">
        <f t="shared" si="0"/>
        <v>0.21454820740405642</v>
      </c>
      <c r="Y29" s="15">
        <f t="shared" si="0"/>
        <v>0.19865574759634852</v>
      </c>
      <c r="Z29" s="15">
        <f t="shared" si="0"/>
        <v>0.18394050703365603</v>
      </c>
      <c r="AA29" s="15">
        <f t="shared" si="0"/>
        <v>0.17031528429042223</v>
      </c>
      <c r="AB29" s="15">
        <f t="shared" si="0"/>
        <v>0.15769933730594649</v>
      </c>
      <c r="AC29" s="15">
        <f t="shared" si="0"/>
        <v>0.14601790491291342</v>
      </c>
      <c r="AD29" s="15">
        <f t="shared" si="0"/>
        <v>0.13520176380825316</v>
      </c>
      <c r="AE29" s="15">
        <f t="shared" si="0"/>
        <v>0.12518681834097514</v>
      </c>
      <c r="AF29" s="15">
        <f t="shared" si="0"/>
        <v>0.11591372068608809</v>
      </c>
      <c r="AG29" s="15">
        <f t="shared" si="0"/>
        <v>0.10732751915378526</v>
      </c>
      <c r="AH29" s="15">
        <f t="shared" si="0"/>
        <v>0.09937733254980116</v>
      </c>
      <c r="AI29" s="15">
        <f t="shared" si="0"/>
        <v>0.09201604865722329</v>
      </c>
      <c r="AJ29" s="15">
        <f t="shared" si="0"/>
        <v>0.08520004505298452</v>
      </c>
      <c r="AK29" s="15">
        <f t="shared" si="0"/>
        <v>0.0788889306046153</v>
      </c>
      <c r="AL29" s="15">
        <f aca="true" t="shared" si="1" ref="AL29:BB29">AK29/(1+$C29/100)</f>
        <v>0.07304530611538453</v>
      </c>
      <c r="AM29" s="15">
        <f t="shared" si="1"/>
        <v>0.06763454269943012</v>
      </c>
      <c r="AN29" s="15">
        <f t="shared" si="1"/>
        <v>0.0626245765735464</v>
      </c>
      <c r="AO29" s="15">
        <f t="shared" si="1"/>
        <v>0.057985719049580005</v>
      </c>
      <c r="AP29" s="15">
        <f t="shared" si="1"/>
        <v>0.05369048060146296</v>
      </c>
      <c r="AQ29" s="15">
        <f t="shared" si="1"/>
        <v>0.04971340796431755</v>
      </c>
      <c r="AR29" s="15">
        <f t="shared" si="1"/>
        <v>0.04603093330029402</v>
      </c>
      <c r="AS29" s="15">
        <f t="shared" si="1"/>
        <v>0.042621234537309274</v>
      </c>
      <c r="AT29" s="15">
        <f t="shared" si="1"/>
        <v>0.03946410605306414</v>
      </c>
      <c r="AU29" s="15">
        <f t="shared" si="1"/>
        <v>0.03654083893802235</v>
      </c>
      <c r="AV29" s="15">
        <f t="shared" si="1"/>
        <v>0.033834110127798474</v>
      </c>
      <c r="AW29" s="15">
        <f t="shared" si="1"/>
        <v>0.03132787974796155</v>
      </c>
      <c r="AX29" s="15">
        <f t="shared" si="1"/>
        <v>0.02900729606292736</v>
      </c>
      <c r="AY29" s="15">
        <f t="shared" si="1"/>
        <v>0.02685860746567348</v>
      </c>
      <c r="AZ29" s="15">
        <f t="shared" si="1"/>
        <v>0.0248690809867347</v>
      </c>
      <c r="BA29" s="15">
        <f t="shared" si="1"/>
        <v>0.023026926839569164</v>
      </c>
      <c r="BB29" s="15">
        <f t="shared" si="1"/>
        <v>0.02132122855515663</v>
      </c>
    </row>
    <row r="30" ht="15" thickBot="1">
      <c r="D30" s="29" t="s">
        <v>5</v>
      </c>
    </row>
    <row r="31" spans="1:54" ht="15.75" thickBot="1">
      <c r="A31" s="20" t="s">
        <v>22</v>
      </c>
      <c r="B31" s="18" t="s">
        <v>18</v>
      </c>
      <c r="C31" s="16">
        <f>C32+C52</f>
        <v>3816488.801042989</v>
      </c>
      <c r="D31" s="29">
        <v>0</v>
      </c>
      <c r="E31" s="29">
        <f aca="true" t="shared" si="2" ref="E31:AJ31">IF(D31&lt;$C28,D31+1,"")</f>
        <v>1</v>
      </c>
      <c r="F31" s="29">
        <f t="shared" si="2"/>
        <v>2</v>
      </c>
      <c r="G31" s="29">
        <f t="shared" si="2"/>
        <v>3</v>
      </c>
      <c r="H31" s="29">
        <f t="shared" si="2"/>
        <v>4</v>
      </c>
      <c r="I31" s="29">
        <f t="shared" si="2"/>
        <v>5</v>
      </c>
      <c r="J31" s="29">
        <f t="shared" si="2"/>
        <v>6</v>
      </c>
      <c r="K31" s="29">
        <f t="shared" si="2"/>
        <v>7</v>
      </c>
      <c r="L31" s="29">
        <f t="shared" si="2"/>
        <v>8</v>
      </c>
      <c r="M31" s="29">
        <f t="shared" si="2"/>
        <v>9</v>
      </c>
      <c r="N31" s="29">
        <f t="shared" si="2"/>
        <v>10</v>
      </c>
      <c r="O31" s="29">
        <f t="shared" si="2"/>
        <v>11</v>
      </c>
      <c r="P31" s="29">
        <f t="shared" si="2"/>
        <v>12</v>
      </c>
      <c r="Q31" s="29">
        <f t="shared" si="2"/>
        <v>13</v>
      </c>
      <c r="R31" s="29">
        <f t="shared" si="2"/>
        <v>14</v>
      </c>
      <c r="S31" s="29">
        <f t="shared" si="2"/>
        <v>15</v>
      </c>
      <c r="T31" s="29">
        <f t="shared" si="2"/>
        <v>16</v>
      </c>
      <c r="U31" s="29">
        <f t="shared" si="2"/>
        <v>17</v>
      </c>
      <c r="V31" s="29">
        <f t="shared" si="2"/>
        <v>18</v>
      </c>
      <c r="W31" s="29">
        <f t="shared" si="2"/>
        <v>19</v>
      </c>
      <c r="X31" s="29">
        <f t="shared" si="2"/>
        <v>20</v>
      </c>
      <c r="Y31" s="29">
        <f t="shared" si="2"/>
      </c>
      <c r="Z31" s="29">
        <f t="shared" si="2"/>
      </c>
      <c r="AA31" s="29">
        <f t="shared" si="2"/>
      </c>
      <c r="AB31" s="29">
        <f t="shared" si="2"/>
      </c>
      <c r="AC31" s="29">
        <f t="shared" si="2"/>
      </c>
      <c r="AD31" s="29">
        <f t="shared" si="2"/>
      </c>
      <c r="AE31" s="29">
        <f t="shared" si="2"/>
      </c>
      <c r="AF31" s="29">
        <f t="shared" si="2"/>
      </c>
      <c r="AG31" s="29">
        <f t="shared" si="2"/>
      </c>
      <c r="AH31" s="29">
        <f t="shared" si="2"/>
      </c>
      <c r="AI31" s="29">
        <f t="shared" si="2"/>
      </c>
      <c r="AJ31" s="29">
        <f t="shared" si="2"/>
      </c>
      <c r="AK31" s="29">
        <f aca="true" t="shared" si="3" ref="AK31:BB31">IF(AJ31&lt;$C28,AJ31+1,"")</f>
      </c>
      <c r="AL31" s="29">
        <f t="shared" si="3"/>
      </c>
      <c r="AM31" s="29">
        <f t="shared" si="3"/>
      </c>
      <c r="AN31" s="29">
        <f t="shared" si="3"/>
      </c>
      <c r="AO31" s="29">
        <f t="shared" si="3"/>
      </c>
      <c r="AP31" s="29">
        <f t="shared" si="3"/>
      </c>
      <c r="AQ31" s="29">
        <f t="shared" si="3"/>
      </c>
      <c r="AR31" s="29">
        <f t="shared" si="3"/>
      </c>
      <c r="AS31" s="29">
        <f t="shared" si="3"/>
      </c>
      <c r="AT31" s="29">
        <f t="shared" si="3"/>
      </c>
      <c r="AU31" s="29">
        <f t="shared" si="3"/>
      </c>
      <c r="AV31" s="29">
        <f t="shared" si="3"/>
      </c>
      <c r="AW31" s="29">
        <f t="shared" si="3"/>
      </c>
      <c r="AX31" s="29">
        <f t="shared" si="3"/>
      </c>
      <c r="AY31" s="29">
        <f t="shared" si="3"/>
      </c>
      <c r="AZ31" s="29">
        <f t="shared" si="3"/>
      </c>
      <c r="BA31" s="29">
        <f t="shared" si="3"/>
      </c>
      <c r="BB31" s="29">
        <f t="shared" si="3"/>
      </c>
    </row>
    <row r="32" spans="1:54" ht="19.5" thickBot="1">
      <c r="A32" s="26" t="s">
        <v>10</v>
      </c>
      <c r="B32" s="21" t="s">
        <v>18</v>
      </c>
      <c r="C32" s="16">
        <f>SUM(D32:BB32)</f>
        <v>1724805.0030084308</v>
      </c>
      <c r="D32" s="27">
        <f aca="true" t="shared" si="4" ref="D32:AI32">D33*D29</f>
        <v>1694697.4262829265</v>
      </c>
      <c r="E32" s="27">
        <f t="shared" si="4"/>
        <v>0</v>
      </c>
      <c r="F32" s="27">
        <f t="shared" si="4"/>
        <v>0</v>
      </c>
      <c r="G32" s="27">
        <f t="shared" si="4"/>
        <v>0</v>
      </c>
      <c r="H32" s="27">
        <f t="shared" si="4"/>
        <v>0</v>
      </c>
      <c r="I32" s="27">
        <f t="shared" si="4"/>
        <v>0</v>
      </c>
      <c r="J32" s="27">
        <f t="shared" si="4"/>
        <v>0</v>
      </c>
      <c r="K32" s="27">
        <f t="shared" si="4"/>
        <v>0</v>
      </c>
      <c r="L32" s="27">
        <f t="shared" si="4"/>
        <v>0</v>
      </c>
      <c r="M32" s="27">
        <f t="shared" si="4"/>
        <v>0</v>
      </c>
      <c r="N32" s="27">
        <f t="shared" si="4"/>
        <v>30107.576725504467</v>
      </c>
      <c r="O32" s="27">
        <f t="shared" si="4"/>
        <v>0</v>
      </c>
      <c r="P32" s="27">
        <f t="shared" si="4"/>
        <v>0</v>
      </c>
      <c r="Q32" s="27">
        <f t="shared" si="4"/>
        <v>0</v>
      </c>
      <c r="R32" s="27">
        <f t="shared" si="4"/>
        <v>0</v>
      </c>
      <c r="S32" s="27">
        <f t="shared" si="4"/>
        <v>0</v>
      </c>
      <c r="T32" s="27">
        <f t="shared" si="4"/>
        <v>0</v>
      </c>
      <c r="U32" s="27">
        <f t="shared" si="4"/>
        <v>0</v>
      </c>
      <c r="V32" s="27">
        <f t="shared" si="4"/>
        <v>0</v>
      </c>
      <c r="W32" s="27">
        <f t="shared" si="4"/>
        <v>0</v>
      </c>
      <c r="X32" s="27">
        <f t="shared" si="4"/>
        <v>0</v>
      </c>
      <c r="Y32" s="27">
        <f t="shared" si="4"/>
        <v>0</v>
      </c>
      <c r="Z32" s="27">
        <f t="shared" si="4"/>
        <v>0</v>
      </c>
      <c r="AA32" s="27">
        <f t="shared" si="4"/>
        <v>0</v>
      </c>
      <c r="AB32" s="27">
        <f t="shared" si="4"/>
        <v>0</v>
      </c>
      <c r="AC32" s="27">
        <f t="shared" si="4"/>
        <v>0</v>
      </c>
      <c r="AD32" s="27">
        <f t="shared" si="4"/>
        <v>0</v>
      </c>
      <c r="AE32" s="27">
        <f t="shared" si="4"/>
        <v>0</v>
      </c>
      <c r="AF32" s="27">
        <f t="shared" si="4"/>
        <v>0</v>
      </c>
      <c r="AG32" s="27">
        <f t="shared" si="4"/>
        <v>0</v>
      </c>
      <c r="AH32" s="27">
        <f t="shared" si="4"/>
        <v>0</v>
      </c>
      <c r="AI32" s="27">
        <f t="shared" si="4"/>
        <v>0</v>
      </c>
      <c r="AJ32" s="27">
        <f aca="true" t="shared" si="5" ref="AJ32:BB32">AJ33*AJ29</f>
        <v>0</v>
      </c>
      <c r="AK32" s="27">
        <f t="shared" si="5"/>
        <v>0</v>
      </c>
      <c r="AL32" s="27">
        <f t="shared" si="5"/>
        <v>0</v>
      </c>
      <c r="AM32" s="27">
        <f t="shared" si="5"/>
        <v>0</v>
      </c>
      <c r="AN32" s="27">
        <f t="shared" si="5"/>
        <v>0</v>
      </c>
      <c r="AO32" s="27">
        <f t="shared" si="5"/>
        <v>0</v>
      </c>
      <c r="AP32" s="27">
        <f t="shared" si="5"/>
        <v>0</v>
      </c>
      <c r="AQ32" s="27">
        <f t="shared" si="5"/>
        <v>0</v>
      </c>
      <c r="AR32" s="27">
        <f t="shared" si="5"/>
        <v>0</v>
      </c>
      <c r="AS32" s="27">
        <f t="shared" si="5"/>
        <v>0</v>
      </c>
      <c r="AT32" s="27">
        <f t="shared" si="5"/>
        <v>0</v>
      </c>
      <c r="AU32" s="27">
        <f t="shared" si="5"/>
        <v>0</v>
      </c>
      <c r="AV32" s="27">
        <f t="shared" si="5"/>
        <v>0</v>
      </c>
      <c r="AW32" s="27">
        <f t="shared" si="5"/>
        <v>0</v>
      </c>
      <c r="AX32" s="27">
        <f t="shared" si="5"/>
        <v>0</v>
      </c>
      <c r="AY32" s="27">
        <f t="shared" si="5"/>
        <v>0</v>
      </c>
      <c r="AZ32" s="27">
        <f t="shared" si="5"/>
        <v>0</v>
      </c>
      <c r="BA32" s="27">
        <f t="shared" si="5"/>
        <v>0</v>
      </c>
      <c r="BB32" s="27">
        <f t="shared" si="5"/>
        <v>0</v>
      </c>
    </row>
    <row r="33" spans="1:54" ht="14.25" customHeight="1">
      <c r="A33" s="30" t="s">
        <v>25</v>
      </c>
      <c r="B33" s="28" t="s">
        <v>18</v>
      </c>
      <c r="C33" s="12">
        <f>C35+C36+C40+C42</f>
        <v>1995</v>
      </c>
      <c r="D33" s="49">
        <f aca="true" t="shared" si="6" ref="D33:X33">D35+D36+D41+D43</f>
        <v>1694697.4262829265</v>
      </c>
      <c r="E33" s="49">
        <f t="shared" si="6"/>
        <v>0</v>
      </c>
      <c r="F33" s="49">
        <f t="shared" si="6"/>
        <v>0</v>
      </c>
      <c r="G33" s="49">
        <f t="shared" si="6"/>
        <v>0</v>
      </c>
      <c r="H33" s="49">
        <f t="shared" si="6"/>
        <v>0</v>
      </c>
      <c r="I33" s="49">
        <f t="shared" si="6"/>
        <v>0</v>
      </c>
      <c r="J33" s="49">
        <f t="shared" si="6"/>
        <v>0</v>
      </c>
      <c r="K33" s="49">
        <f t="shared" si="6"/>
        <v>0</v>
      </c>
      <c r="L33" s="49">
        <f t="shared" si="6"/>
        <v>0</v>
      </c>
      <c r="M33" s="49">
        <f t="shared" si="6"/>
        <v>0</v>
      </c>
      <c r="N33" s="49">
        <f t="shared" si="6"/>
        <v>65000</v>
      </c>
      <c r="O33" s="49">
        <f t="shared" si="6"/>
        <v>0</v>
      </c>
      <c r="P33" s="49">
        <f t="shared" si="6"/>
        <v>0</v>
      </c>
      <c r="Q33" s="49">
        <f t="shared" si="6"/>
        <v>0</v>
      </c>
      <c r="R33" s="49">
        <f t="shared" si="6"/>
        <v>0</v>
      </c>
      <c r="S33" s="49">
        <f t="shared" si="6"/>
        <v>0</v>
      </c>
      <c r="T33" s="49">
        <f t="shared" si="6"/>
        <v>0</v>
      </c>
      <c r="U33" s="49">
        <f t="shared" si="6"/>
        <v>0</v>
      </c>
      <c r="V33" s="49">
        <f t="shared" si="6"/>
        <v>0</v>
      </c>
      <c r="W33" s="49">
        <f t="shared" si="6"/>
        <v>0</v>
      </c>
      <c r="X33" s="49">
        <f t="shared" si="6"/>
        <v>0</v>
      </c>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row>
    <row r="34" spans="1:3" ht="12.75">
      <c r="A34" s="13" t="s">
        <v>11</v>
      </c>
      <c r="C34" s="9"/>
    </row>
    <row r="35" spans="1:4" ht="12.75">
      <c r="A35" s="45" t="s">
        <v>59</v>
      </c>
      <c r="B35" s="46" t="s">
        <v>55</v>
      </c>
      <c r="C35" s="47">
        <f>E12</f>
        <v>230</v>
      </c>
      <c r="D35">
        <f>C35*1000</f>
        <v>230000</v>
      </c>
    </row>
    <row r="36" spans="1:14" ht="12.75">
      <c r="A36" s="45" t="s">
        <v>58</v>
      </c>
      <c r="B36" s="46" t="s">
        <v>55</v>
      </c>
      <c r="C36" s="47">
        <f>E13</f>
        <v>65</v>
      </c>
      <c r="D36">
        <f>C36*1000</f>
        <v>65000</v>
      </c>
      <c r="N36">
        <f>D36</f>
        <v>65000</v>
      </c>
    </row>
    <row r="37" ht="12.75">
      <c r="C37" s="9"/>
    </row>
    <row r="38" ht="12.75">
      <c r="A38" s="13" t="s">
        <v>12</v>
      </c>
    </row>
    <row r="39" spans="1:3" ht="12.75">
      <c r="A39" t="s">
        <v>20</v>
      </c>
      <c r="B39" s="8" t="s">
        <v>6</v>
      </c>
      <c r="C39">
        <v>40</v>
      </c>
    </row>
    <row r="40" spans="1:3" ht="12.75">
      <c r="A40" s="45" t="s">
        <v>41</v>
      </c>
      <c r="B40" s="46" t="s">
        <v>55</v>
      </c>
      <c r="C40" s="45">
        <f>E14</f>
        <v>1200</v>
      </c>
    </row>
    <row r="41" spans="1:4" ht="12.75">
      <c r="A41" s="45" t="s">
        <v>56</v>
      </c>
      <c r="B41" s="46" t="s">
        <v>55</v>
      </c>
      <c r="C41" s="48">
        <f>C40*C46</f>
        <v>988.0217126703011</v>
      </c>
      <c r="D41" s="48">
        <f>C41*1000</f>
        <v>988021.7126703011</v>
      </c>
    </row>
    <row r="42" spans="1:3" ht="12.75">
      <c r="A42" s="45" t="s">
        <v>57</v>
      </c>
      <c r="B42" s="46" t="s">
        <v>55</v>
      </c>
      <c r="C42" s="45">
        <f>E15*E8</f>
        <v>500</v>
      </c>
    </row>
    <row r="43" spans="1:4" ht="12.75">
      <c r="A43" s="45" t="s">
        <v>56</v>
      </c>
      <c r="B43" s="46" t="s">
        <v>55</v>
      </c>
      <c r="C43" s="48">
        <f>C42*C46</f>
        <v>411.67571361262543</v>
      </c>
      <c r="D43" s="48">
        <f>C43*1000</f>
        <v>411675.71361262543</v>
      </c>
    </row>
    <row r="45" spans="1:3" ht="12.75">
      <c r="A45" s="11" t="s">
        <v>21</v>
      </c>
      <c r="B45" s="8" t="s">
        <v>18</v>
      </c>
      <c r="C45" s="24"/>
    </row>
    <row r="46" spans="1:3" ht="14.25" customHeight="1">
      <c r="A46" s="23" t="s">
        <v>24</v>
      </c>
      <c r="B46" s="22"/>
      <c r="C46" s="17">
        <f>(1-POWER(1+C29/100,-C28))/(1-POWER(1+C29/100,-C39))</f>
        <v>0.8233514272252509</v>
      </c>
    </row>
    <row r="47" spans="1:3" ht="12.75">
      <c r="A47" s="10"/>
      <c r="B47" s="8"/>
      <c r="C47" s="12"/>
    </row>
    <row r="48" spans="1:3" ht="12.75">
      <c r="A48" s="10"/>
      <c r="C48" s="12"/>
    </row>
    <row r="49" spans="1:3" ht="12.75">
      <c r="A49" s="14" t="s">
        <v>13</v>
      </c>
      <c r="C49" s="12"/>
    </row>
    <row r="50" spans="1:3" ht="12.75">
      <c r="A50" s="10"/>
      <c r="C50" s="12"/>
    </row>
    <row r="51" spans="4:54" ht="15" thickBot="1">
      <c r="D51" s="29" t="s">
        <v>5</v>
      </c>
      <c r="E51" s="29">
        <f aca="true" t="shared" si="7" ref="E51:AJ51">E31</f>
        <v>1</v>
      </c>
      <c r="F51" s="29">
        <f t="shared" si="7"/>
        <v>2</v>
      </c>
      <c r="G51" s="29">
        <f t="shared" si="7"/>
        <v>3</v>
      </c>
      <c r="H51" s="29">
        <f t="shared" si="7"/>
        <v>4</v>
      </c>
      <c r="I51" s="29">
        <f t="shared" si="7"/>
        <v>5</v>
      </c>
      <c r="J51" s="29">
        <f t="shared" si="7"/>
        <v>6</v>
      </c>
      <c r="K51" s="29">
        <f t="shared" si="7"/>
        <v>7</v>
      </c>
      <c r="L51" s="29">
        <f t="shared" si="7"/>
        <v>8</v>
      </c>
      <c r="M51" s="29">
        <f t="shared" si="7"/>
        <v>9</v>
      </c>
      <c r="N51" s="29">
        <f t="shared" si="7"/>
        <v>10</v>
      </c>
      <c r="O51" s="29">
        <f t="shared" si="7"/>
        <v>11</v>
      </c>
      <c r="P51" s="29">
        <f t="shared" si="7"/>
        <v>12</v>
      </c>
      <c r="Q51" s="29">
        <f t="shared" si="7"/>
        <v>13</v>
      </c>
      <c r="R51" s="29">
        <f t="shared" si="7"/>
        <v>14</v>
      </c>
      <c r="S51" s="29">
        <f t="shared" si="7"/>
        <v>15</v>
      </c>
      <c r="T51" s="29">
        <f t="shared" si="7"/>
        <v>16</v>
      </c>
      <c r="U51" s="29">
        <f t="shared" si="7"/>
        <v>17</v>
      </c>
      <c r="V51" s="29">
        <f t="shared" si="7"/>
        <v>18</v>
      </c>
      <c r="W51" s="29">
        <f t="shared" si="7"/>
        <v>19</v>
      </c>
      <c r="X51" s="29">
        <f t="shared" si="7"/>
        <v>20</v>
      </c>
      <c r="Y51" s="29">
        <f t="shared" si="7"/>
      </c>
      <c r="Z51" s="29">
        <f t="shared" si="7"/>
      </c>
      <c r="AA51" s="29">
        <f t="shared" si="7"/>
      </c>
      <c r="AB51" s="29">
        <f t="shared" si="7"/>
      </c>
      <c r="AC51" s="29">
        <f t="shared" si="7"/>
      </c>
      <c r="AD51" s="29">
        <f t="shared" si="7"/>
      </c>
      <c r="AE51" s="29">
        <f t="shared" si="7"/>
      </c>
      <c r="AF51" s="29">
        <f t="shared" si="7"/>
      </c>
      <c r="AG51" s="29">
        <f t="shared" si="7"/>
      </c>
      <c r="AH51" s="29">
        <f t="shared" si="7"/>
      </c>
      <c r="AI51" s="29">
        <f t="shared" si="7"/>
      </c>
      <c r="AJ51" s="29">
        <f t="shared" si="7"/>
      </c>
      <c r="AK51" s="29">
        <f aca="true" t="shared" si="8" ref="AK51:BB51">AK31</f>
      </c>
      <c r="AL51" s="29">
        <f t="shared" si="8"/>
      </c>
      <c r="AM51" s="29">
        <f t="shared" si="8"/>
      </c>
      <c r="AN51" s="29">
        <f t="shared" si="8"/>
      </c>
      <c r="AO51" s="29">
        <f t="shared" si="8"/>
      </c>
      <c r="AP51" s="29">
        <f t="shared" si="8"/>
      </c>
      <c r="AQ51" s="29">
        <f t="shared" si="8"/>
      </c>
      <c r="AR51" s="29">
        <f t="shared" si="8"/>
      </c>
      <c r="AS51" s="29">
        <f t="shared" si="8"/>
      </c>
      <c r="AT51" s="29">
        <f t="shared" si="8"/>
      </c>
      <c r="AU51" s="29">
        <f t="shared" si="8"/>
      </c>
      <c r="AV51" s="29">
        <f t="shared" si="8"/>
      </c>
      <c r="AW51" s="29">
        <f t="shared" si="8"/>
      </c>
      <c r="AX51" s="29">
        <f t="shared" si="8"/>
      </c>
      <c r="AY51" s="29">
        <f t="shared" si="8"/>
      </c>
      <c r="AZ51" s="29">
        <f t="shared" si="8"/>
      </c>
      <c r="BA51" s="29">
        <f t="shared" si="8"/>
      </c>
      <c r="BB51" s="29">
        <f t="shared" si="8"/>
      </c>
    </row>
    <row r="52" spans="1:54" ht="19.5" thickBot="1">
      <c r="A52" s="26" t="s">
        <v>16</v>
      </c>
      <c r="B52" s="22" t="s">
        <v>18</v>
      </c>
      <c r="C52" s="16">
        <f>SUM(E52:BB52)</f>
        <v>2091683.7980345578</v>
      </c>
      <c r="D52" s="2"/>
      <c r="E52" s="27">
        <f aca="true" t="shared" si="9" ref="E52:AJ52">E53*E29</f>
        <v>197261.68054575621</v>
      </c>
      <c r="F52" s="27">
        <f t="shared" si="9"/>
        <v>182649.70420903352</v>
      </c>
      <c r="G52" s="27">
        <f t="shared" si="9"/>
        <v>169120.09648984583</v>
      </c>
      <c r="H52" s="27">
        <f t="shared" si="9"/>
        <v>156592.68193504243</v>
      </c>
      <c r="I52" s="27">
        <f t="shared" si="9"/>
        <v>144993.22401392818</v>
      </c>
      <c r="J52" s="27">
        <f t="shared" si="9"/>
        <v>134252.98519808165</v>
      </c>
      <c r="K52" s="27">
        <f t="shared" si="9"/>
        <v>124308.31962785334</v>
      </c>
      <c r="L52" s="27">
        <f t="shared" si="9"/>
        <v>115100.29595171605</v>
      </c>
      <c r="M52" s="27">
        <f t="shared" si="9"/>
        <v>106574.34810344077</v>
      </c>
      <c r="N52" s="27">
        <f t="shared" si="9"/>
        <v>98679.95194763034</v>
      </c>
      <c r="O52" s="27">
        <f t="shared" si="9"/>
        <v>91370.32587743549</v>
      </c>
      <c r="P52" s="27">
        <f t="shared" si="9"/>
        <v>84602.15359021803</v>
      </c>
      <c r="Q52" s="27">
        <f t="shared" si="9"/>
        <v>78335.32739835004</v>
      </c>
      <c r="R52" s="27">
        <f t="shared" si="9"/>
        <v>72532.71055402781</v>
      </c>
      <c r="S52" s="27">
        <f t="shared" si="9"/>
        <v>67159.91717965539</v>
      </c>
      <c r="T52" s="27">
        <f t="shared" si="9"/>
        <v>62185.1084996809</v>
      </c>
      <c r="U52" s="27">
        <f t="shared" si="9"/>
        <v>57578.80416637119</v>
      </c>
      <c r="V52" s="27">
        <f t="shared" si="9"/>
        <v>53313.7075614548</v>
      </c>
      <c r="W52" s="27">
        <f t="shared" si="9"/>
        <v>49364.544038384076</v>
      </c>
      <c r="X52" s="27">
        <f t="shared" si="9"/>
        <v>45707.91114665192</v>
      </c>
      <c r="Y52" s="27">
        <f t="shared" si="9"/>
        <v>0</v>
      </c>
      <c r="Z52" s="27">
        <f t="shared" si="9"/>
        <v>0</v>
      </c>
      <c r="AA52" s="27">
        <f t="shared" si="9"/>
        <v>0</v>
      </c>
      <c r="AB52" s="27">
        <f t="shared" si="9"/>
        <v>0</v>
      </c>
      <c r="AC52" s="27">
        <f t="shared" si="9"/>
        <v>0</v>
      </c>
      <c r="AD52" s="27">
        <f t="shared" si="9"/>
        <v>0</v>
      </c>
      <c r="AE52" s="27">
        <f t="shared" si="9"/>
        <v>0</v>
      </c>
      <c r="AF52" s="27">
        <f t="shared" si="9"/>
        <v>0</v>
      </c>
      <c r="AG52" s="27">
        <f t="shared" si="9"/>
        <v>0</v>
      </c>
      <c r="AH52" s="27">
        <f t="shared" si="9"/>
        <v>0</v>
      </c>
      <c r="AI52" s="27">
        <f t="shared" si="9"/>
        <v>0</v>
      </c>
      <c r="AJ52" s="27">
        <f t="shared" si="9"/>
        <v>0</v>
      </c>
      <c r="AK52" s="27">
        <f aca="true" t="shared" si="10" ref="AK52:BB52">AK53*AK29</f>
        <v>0</v>
      </c>
      <c r="AL52" s="27">
        <f t="shared" si="10"/>
        <v>0</v>
      </c>
      <c r="AM52" s="27">
        <f t="shared" si="10"/>
        <v>0</v>
      </c>
      <c r="AN52" s="27">
        <f t="shared" si="10"/>
        <v>0</v>
      </c>
      <c r="AO52" s="27">
        <f t="shared" si="10"/>
        <v>0</v>
      </c>
      <c r="AP52" s="27">
        <f t="shared" si="10"/>
        <v>0</v>
      </c>
      <c r="AQ52" s="27">
        <f t="shared" si="10"/>
        <v>0</v>
      </c>
      <c r="AR52" s="27">
        <f t="shared" si="10"/>
        <v>0</v>
      </c>
      <c r="AS52" s="27">
        <f t="shared" si="10"/>
        <v>0</v>
      </c>
      <c r="AT52" s="27">
        <f t="shared" si="10"/>
        <v>0</v>
      </c>
      <c r="AU52" s="27">
        <f t="shared" si="10"/>
        <v>0</v>
      </c>
      <c r="AV52" s="27">
        <f t="shared" si="10"/>
        <v>0</v>
      </c>
      <c r="AW52" s="27">
        <f t="shared" si="10"/>
        <v>0</v>
      </c>
      <c r="AX52" s="27">
        <f t="shared" si="10"/>
        <v>0</v>
      </c>
      <c r="AY52" s="27">
        <f t="shared" si="10"/>
        <v>0</v>
      </c>
      <c r="AZ52" s="27">
        <f t="shared" si="10"/>
        <v>0</v>
      </c>
      <c r="BA52" s="27">
        <f t="shared" si="10"/>
        <v>0</v>
      </c>
      <c r="BB52" s="27">
        <f t="shared" si="10"/>
        <v>0</v>
      </c>
    </row>
    <row r="53" spans="1:54" ht="15.75" thickBot="1">
      <c r="A53" s="30" t="s">
        <v>26</v>
      </c>
      <c r="B53" s="8" t="s">
        <v>18</v>
      </c>
      <c r="C53" s="16">
        <f>SUM(E53:BB53)</f>
        <v>4260852.299788334</v>
      </c>
      <c r="E53" s="49">
        <f aca="true" t="shared" si="11" ref="E53:X53">E57+E61+E64</f>
        <v>213042.61498941673</v>
      </c>
      <c r="F53" s="49">
        <f t="shared" si="11"/>
        <v>213042.61498941673</v>
      </c>
      <c r="G53" s="49">
        <f t="shared" si="11"/>
        <v>213042.61498941673</v>
      </c>
      <c r="H53" s="49">
        <f t="shared" si="11"/>
        <v>213042.61498941673</v>
      </c>
      <c r="I53" s="49">
        <f t="shared" si="11"/>
        <v>213042.61498941673</v>
      </c>
      <c r="J53" s="49">
        <f t="shared" si="11"/>
        <v>213042.61498941673</v>
      </c>
      <c r="K53" s="49">
        <f t="shared" si="11"/>
        <v>213042.61498941673</v>
      </c>
      <c r="L53" s="49">
        <f t="shared" si="11"/>
        <v>213042.61498941673</v>
      </c>
      <c r="M53" s="49">
        <f t="shared" si="11"/>
        <v>213042.61498941673</v>
      </c>
      <c r="N53" s="49">
        <f t="shared" si="11"/>
        <v>213042.61498941673</v>
      </c>
      <c r="O53" s="49">
        <f t="shared" si="11"/>
        <v>213042.61498941673</v>
      </c>
      <c r="P53" s="49">
        <f t="shared" si="11"/>
        <v>213042.61498941673</v>
      </c>
      <c r="Q53" s="49">
        <f t="shared" si="11"/>
        <v>213042.61498941673</v>
      </c>
      <c r="R53" s="49">
        <f t="shared" si="11"/>
        <v>213042.61498941673</v>
      </c>
      <c r="S53" s="49">
        <f t="shared" si="11"/>
        <v>213042.61498941673</v>
      </c>
      <c r="T53" s="49">
        <f t="shared" si="11"/>
        <v>213042.61498941673</v>
      </c>
      <c r="U53" s="49">
        <f t="shared" si="11"/>
        <v>213042.61498941673</v>
      </c>
      <c r="V53" s="49">
        <f t="shared" si="11"/>
        <v>213042.61498941673</v>
      </c>
      <c r="W53" s="49">
        <f t="shared" si="11"/>
        <v>213042.61498941673</v>
      </c>
      <c r="X53" s="49">
        <f t="shared" si="11"/>
        <v>213042.61498941673</v>
      </c>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row>
    <row r="54" ht="12.75">
      <c r="A54" s="13" t="s">
        <v>14</v>
      </c>
    </row>
    <row r="55" spans="1:3" ht="12.75">
      <c r="A55" s="50" t="s">
        <v>65</v>
      </c>
      <c r="B55" s="46" t="s">
        <v>60</v>
      </c>
      <c r="C55" s="45">
        <f>(E8*E9*E10+E11*E8*12*51)/1000</f>
        <v>871.8</v>
      </c>
    </row>
    <row r="56" spans="1:3" ht="12.75">
      <c r="A56" s="50" t="s">
        <v>61</v>
      </c>
      <c r="B56" s="46" t="s">
        <v>62</v>
      </c>
      <c r="C56" s="52">
        <f>C55/(E19/100)*859845/E17/1000</f>
        <v>440.74133995766687</v>
      </c>
    </row>
    <row r="57" spans="1:24" ht="12.75">
      <c r="A57" s="50" t="s">
        <v>63</v>
      </c>
      <c r="B57" s="46" t="s">
        <v>64</v>
      </c>
      <c r="C57" s="53">
        <f>C56*E16</f>
        <v>110.18533498941672</v>
      </c>
      <c r="E57" s="51">
        <f>C57*1000</f>
        <v>110185.33498941672</v>
      </c>
      <c r="F57" s="48">
        <f aca="true" t="shared" si="12" ref="F57:X57">E57</f>
        <v>110185.33498941672</v>
      </c>
      <c r="G57" s="48">
        <f t="shared" si="12"/>
        <v>110185.33498941672</v>
      </c>
      <c r="H57" s="48">
        <f t="shared" si="12"/>
        <v>110185.33498941672</v>
      </c>
      <c r="I57" s="48">
        <f t="shared" si="12"/>
        <v>110185.33498941672</v>
      </c>
      <c r="J57" s="48">
        <f t="shared" si="12"/>
        <v>110185.33498941672</v>
      </c>
      <c r="K57" s="48">
        <f t="shared" si="12"/>
        <v>110185.33498941672</v>
      </c>
      <c r="L57" s="48">
        <f t="shared" si="12"/>
        <v>110185.33498941672</v>
      </c>
      <c r="M57" s="48">
        <f t="shared" si="12"/>
        <v>110185.33498941672</v>
      </c>
      <c r="N57" s="48">
        <f t="shared" si="12"/>
        <v>110185.33498941672</v>
      </c>
      <c r="O57" s="48">
        <f t="shared" si="12"/>
        <v>110185.33498941672</v>
      </c>
      <c r="P57" s="48">
        <f t="shared" si="12"/>
        <v>110185.33498941672</v>
      </c>
      <c r="Q57" s="48">
        <f t="shared" si="12"/>
        <v>110185.33498941672</v>
      </c>
      <c r="R57" s="48">
        <f t="shared" si="12"/>
        <v>110185.33498941672</v>
      </c>
      <c r="S57" s="48">
        <f t="shared" si="12"/>
        <v>110185.33498941672</v>
      </c>
      <c r="T57" s="48">
        <f t="shared" si="12"/>
        <v>110185.33498941672</v>
      </c>
      <c r="U57" s="48">
        <f t="shared" si="12"/>
        <v>110185.33498941672</v>
      </c>
      <c r="V57" s="48">
        <f t="shared" si="12"/>
        <v>110185.33498941672</v>
      </c>
      <c r="W57" s="48">
        <f t="shared" si="12"/>
        <v>110185.33498941672</v>
      </c>
      <c r="X57" s="48">
        <f t="shared" si="12"/>
        <v>110185.33498941672</v>
      </c>
    </row>
    <row r="59" ht="12.75">
      <c r="A59" s="13" t="s">
        <v>15</v>
      </c>
    </row>
    <row r="60" spans="1:3" ht="12.75">
      <c r="A60" s="50" t="s">
        <v>66</v>
      </c>
      <c r="B60" s="46" t="s">
        <v>67</v>
      </c>
      <c r="C60" s="45">
        <f>E20*365*24</f>
        <v>17520</v>
      </c>
    </row>
    <row r="61" spans="1:24" ht="12.75">
      <c r="A61" s="50" t="s">
        <v>68</v>
      </c>
      <c r="B61" s="46" t="s">
        <v>69</v>
      </c>
      <c r="C61" s="45">
        <f>C60*E21/100</f>
        <v>6377.28</v>
      </c>
      <c r="E61">
        <f>C61</f>
        <v>6377.28</v>
      </c>
      <c r="F61">
        <f aca="true" t="shared" si="13" ref="F61:X61">E61</f>
        <v>6377.28</v>
      </c>
      <c r="G61">
        <f t="shared" si="13"/>
        <v>6377.28</v>
      </c>
      <c r="H61">
        <f t="shared" si="13"/>
        <v>6377.28</v>
      </c>
      <c r="I61">
        <f t="shared" si="13"/>
        <v>6377.28</v>
      </c>
      <c r="J61">
        <f t="shared" si="13"/>
        <v>6377.28</v>
      </c>
      <c r="K61">
        <f t="shared" si="13"/>
        <v>6377.28</v>
      </c>
      <c r="L61">
        <f t="shared" si="13"/>
        <v>6377.28</v>
      </c>
      <c r="M61">
        <f t="shared" si="13"/>
        <v>6377.28</v>
      </c>
      <c r="N61">
        <f t="shared" si="13"/>
        <v>6377.28</v>
      </c>
      <c r="O61">
        <f t="shared" si="13"/>
        <v>6377.28</v>
      </c>
      <c r="P61">
        <f t="shared" si="13"/>
        <v>6377.28</v>
      </c>
      <c r="Q61">
        <f t="shared" si="13"/>
        <v>6377.28</v>
      </c>
      <c r="R61">
        <f t="shared" si="13"/>
        <v>6377.28</v>
      </c>
      <c r="S61">
        <f t="shared" si="13"/>
        <v>6377.28</v>
      </c>
      <c r="T61">
        <f t="shared" si="13"/>
        <v>6377.28</v>
      </c>
      <c r="U61">
        <f t="shared" si="13"/>
        <v>6377.28</v>
      </c>
      <c r="V61">
        <f t="shared" si="13"/>
        <v>6377.28</v>
      </c>
      <c r="W61">
        <f t="shared" si="13"/>
        <v>6377.28</v>
      </c>
      <c r="X61">
        <f t="shared" si="13"/>
        <v>6377.28</v>
      </c>
    </row>
    <row r="63" ht="12.75">
      <c r="A63" s="13" t="s">
        <v>19</v>
      </c>
    </row>
    <row r="64" spans="1:24" ht="12.75">
      <c r="A64" s="50" t="s">
        <v>70</v>
      </c>
      <c r="B64" s="46" t="s">
        <v>69</v>
      </c>
      <c r="C64" s="45">
        <f>E22*1.34*12*4</f>
        <v>96480.00000000001</v>
      </c>
      <c r="E64">
        <f>C64</f>
        <v>96480.00000000001</v>
      </c>
      <c r="F64">
        <f aca="true" t="shared" si="14" ref="F64:X64">E64</f>
        <v>96480.00000000001</v>
      </c>
      <c r="G64">
        <f t="shared" si="14"/>
        <v>96480.00000000001</v>
      </c>
      <c r="H64">
        <f t="shared" si="14"/>
        <v>96480.00000000001</v>
      </c>
      <c r="I64">
        <f t="shared" si="14"/>
        <v>96480.00000000001</v>
      </c>
      <c r="J64">
        <f t="shared" si="14"/>
        <v>96480.00000000001</v>
      </c>
      <c r="K64">
        <f t="shared" si="14"/>
        <v>96480.00000000001</v>
      </c>
      <c r="L64">
        <f t="shared" si="14"/>
        <v>96480.00000000001</v>
      </c>
      <c r="M64">
        <f t="shared" si="14"/>
        <v>96480.00000000001</v>
      </c>
      <c r="N64">
        <f t="shared" si="14"/>
        <v>96480.00000000001</v>
      </c>
      <c r="O64">
        <f t="shared" si="14"/>
        <v>96480.00000000001</v>
      </c>
      <c r="P64">
        <f t="shared" si="14"/>
        <v>96480.00000000001</v>
      </c>
      <c r="Q64">
        <f t="shared" si="14"/>
        <v>96480.00000000001</v>
      </c>
      <c r="R64">
        <f t="shared" si="14"/>
        <v>96480.00000000001</v>
      </c>
      <c r="S64">
        <f t="shared" si="14"/>
        <v>96480.00000000001</v>
      </c>
      <c r="T64">
        <f t="shared" si="14"/>
        <v>96480.00000000001</v>
      </c>
      <c r="U64">
        <f t="shared" si="14"/>
        <v>96480.00000000001</v>
      </c>
      <c r="V64">
        <f t="shared" si="14"/>
        <v>96480.00000000001</v>
      </c>
      <c r="W64">
        <f t="shared" si="14"/>
        <v>96480.00000000001</v>
      </c>
      <c r="X64">
        <f t="shared" si="14"/>
        <v>96480.00000000001</v>
      </c>
    </row>
    <row r="66" ht="12.75">
      <c r="A66" s="13" t="s">
        <v>17</v>
      </c>
    </row>
    <row r="67" ht="12.75">
      <c r="A67" s="6"/>
    </row>
    <row r="68" ht="12.75">
      <c r="A68" s="6"/>
    </row>
    <row r="69" ht="13.5" thickBot="1"/>
    <row r="70" spans="1:3" ht="15.75" thickBot="1">
      <c r="A70" s="20" t="s">
        <v>27</v>
      </c>
      <c r="B70" s="18" t="s">
        <v>7</v>
      </c>
      <c r="C70" s="16">
        <f>C55*1000</f>
        <v>871800</v>
      </c>
    </row>
    <row r="71" spans="1:3" ht="12.75">
      <c r="A71" s="7"/>
      <c r="B71" s="8"/>
      <c r="C71" s="3"/>
    </row>
    <row r="72" spans="1:3" ht="12.75">
      <c r="A72" s="7"/>
      <c r="B72" s="8"/>
      <c r="C72" s="3"/>
    </row>
    <row r="73" spans="1:3" ht="12.75">
      <c r="A73" s="7"/>
      <c r="B73" s="8"/>
      <c r="C73" s="3"/>
    </row>
    <row r="74" spans="1:3" ht="12.75">
      <c r="A74" s="7"/>
      <c r="B74" s="8"/>
      <c r="C74" s="3"/>
    </row>
    <row r="75" ht="13.5" thickBot="1"/>
    <row r="76" spans="1:3" ht="17.25" thickBot="1" thickTop="1">
      <c r="A76" s="38" t="s">
        <v>8</v>
      </c>
      <c r="B76" s="39" t="s">
        <v>9</v>
      </c>
      <c r="C76" s="63">
        <f>IF(C70&gt;0,C31*100/C70*C29/100/(1-POWER(1+C29/100,-C28)),"")</f>
        <v>44.58795759750472</v>
      </c>
    </row>
    <row r="77" ht="13.5" thickTop="1"/>
  </sheetData>
  <sheetProtection/>
  <mergeCells count="20">
    <mergeCell ref="A20:C20"/>
    <mergeCell ref="A23:C23"/>
    <mergeCell ref="A18:C18"/>
    <mergeCell ref="A19:C19"/>
    <mergeCell ref="A9:C9"/>
    <mergeCell ref="A10:C10"/>
    <mergeCell ref="A11:C11"/>
    <mergeCell ref="A12:C12"/>
    <mergeCell ref="A14:C14"/>
    <mergeCell ref="A15:C15"/>
    <mergeCell ref="A2:E2"/>
    <mergeCell ref="A1:E1"/>
    <mergeCell ref="A21:C21"/>
    <mergeCell ref="A22:C22"/>
    <mergeCell ref="A13:C13"/>
    <mergeCell ref="A6:I6"/>
    <mergeCell ref="A7:C7"/>
    <mergeCell ref="A8:C8"/>
    <mergeCell ref="A16:C16"/>
    <mergeCell ref="A17:C17"/>
  </mergeCells>
  <printOptions gridLines="1"/>
  <pageMargins left="0.99" right="0.45" top="0.73" bottom="0.65" header="0.5" footer="0.5"/>
  <pageSetup fitToHeight="1" fitToWidth="1" horizontalDpi="200" verticalDpi="200" orientation="portrait" scale="6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B76"/>
  <sheetViews>
    <sheetView zoomScalePageLayoutView="0" workbookViewId="0" topLeftCell="A61">
      <selection activeCell="C76" sqref="C76"/>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 min="5" max="5" width="10.57421875" style="0" bestFit="1" customWidth="1"/>
    <col min="6" max="6" width="10.7109375" style="0" bestFit="1" customWidth="1"/>
    <col min="7" max="7" width="10.28125" style="0" customWidth="1"/>
    <col min="8" max="8" width="10.140625" style="0" customWidth="1"/>
    <col min="9" max="24" width="9.57421875" style="0" bestFit="1" customWidth="1"/>
  </cols>
  <sheetData>
    <row r="1" spans="1:5" ht="24" customHeight="1">
      <c r="A1" s="66" t="s">
        <v>29</v>
      </c>
      <c r="B1" s="67"/>
      <c r="C1" s="65"/>
      <c r="D1" s="65"/>
      <c r="E1" s="65"/>
    </row>
    <row r="2" spans="1:5" ht="24" customHeight="1">
      <c r="A2" s="64" t="s">
        <v>30</v>
      </c>
      <c r="B2" s="65"/>
      <c r="C2" s="65"/>
      <c r="D2" s="65"/>
      <c r="E2" s="65"/>
    </row>
    <row r="3" spans="1:5" ht="24" customHeight="1">
      <c r="A3" s="54" t="s">
        <v>74</v>
      </c>
      <c r="B3" s="55"/>
      <c r="C3" s="55"/>
      <c r="D3" s="55"/>
      <c r="E3" s="55"/>
    </row>
    <row r="4" spans="1:5" ht="12" customHeight="1">
      <c r="A4" s="5"/>
      <c r="B4" s="2"/>
      <c r="C4" s="2"/>
      <c r="D4" s="2"/>
      <c r="E4" s="2"/>
    </row>
    <row r="5" spans="1:5" ht="12" customHeight="1" thickBot="1">
      <c r="A5" s="25" t="s">
        <v>4</v>
      </c>
      <c r="B5" s="2"/>
      <c r="C5" s="2"/>
      <c r="D5" s="2"/>
      <c r="E5" s="2"/>
    </row>
    <row r="6" spans="1:9" ht="72.75" customHeight="1" thickBot="1">
      <c r="A6" s="72" t="s">
        <v>39</v>
      </c>
      <c r="B6" s="73"/>
      <c r="C6" s="73"/>
      <c r="D6" s="73"/>
      <c r="E6" s="73"/>
      <c r="F6" s="73"/>
      <c r="G6" s="73"/>
      <c r="H6" s="73"/>
      <c r="I6" s="74"/>
    </row>
    <row r="7" spans="1:9" ht="15" customHeight="1" thickBot="1">
      <c r="A7" s="75" t="s">
        <v>28</v>
      </c>
      <c r="B7" s="76"/>
      <c r="C7" s="77"/>
      <c r="D7" s="36" t="s">
        <v>1</v>
      </c>
      <c r="E7" s="33"/>
      <c r="F7" s="33"/>
      <c r="G7" s="33"/>
      <c r="H7" s="33"/>
      <c r="I7" s="33"/>
    </row>
    <row r="8" spans="1:11" ht="15" customHeight="1" thickTop="1">
      <c r="A8" s="78" t="s">
        <v>31</v>
      </c>
      <c r="B8" s="79"/>
      <c r="C8" s="80"/>
      <c r="D8" s="34" t="s">
        <v>32</v>
      </c>
      <c r="E8" s="43">
        <v>50</v>
      </c>
      <c r="F8" s="33"/>
      <c r="G8" s="43"/>
      <c r="H8" s="33"/>
      <c r="I8" s="33"/>
      <c r="J8" s="33"/>
      <c r="K8" s="33"/>
    </row>
    <row r="9" spans="1:11" ht="15" customHeight="1">
      <c r="A9" s="68" t="s">
        <v>33</v>
      </c>
      <c r="B9" s="69"/>
      <c r="C9" s="70"/>
      <c r="D9" s="34" t="s">
        <v>34</v>
      </c>
      <c r="E9" s="43">
        <v>120</v>
      </c>
      <c r="F9" s="33"/>
      <c r="G9" s="43"/>
      <c r="H9" s="33"/>
      <c r="I9" s="33"/>
      <c r="J9" s="33"/>
      <c r="K9" s="33"/>
    </row>
    <row r="10" spans="1:11" ht="15" customHeight="1">
      <c r="A10" s="81" t="s">
        <v>35</v>
      </c>
      <c r="B10" s="82"/>
      <c r="C10" s="83"/>
      <c r="D10" s="34" t="s">
        <v>36</v>
      </c>
      <c r="E10" s="43">
        <v>130</v>
      </c>
      <c r="F10" s="33"/>
      <c r="G10" s="43"/>
      <c r="H10" s="33"/>
      <c r="I10" s="33"/>
      <c r="J10" s="33"/>
      <c r="K10" s="33"/>
    </row>
    <row r="11" spans="1:11" ht="15" customHeight="1">
      <c r="A11" s="82" t="s">
        <v>37</v>
      </c>
      <c r="B11" s="82"/>
      <c r="C11" s="83"/>
      <c r="D11" s="34" t="s">
        <v>38</v>
      </c>
      <c r="E11" s="43">
        <v>3</v>
      </c>
      <c r="F11" s="33"/>
      <c r="G11" s="43"/>
      <c r="H11" s="33"/>
      <c r="I11" s="33"/>
      <c r="J11" s="33"/>
      <c r="K11" s="33"/>
    </row>
    <row r="12" spans="1:9" ht="15" customHeight="1">
      <c r="A12" s="68" t="s">
        <v>71</v>
      </c>
      <c r="B12" s="69"/>
      <c r="C12" s="70"/>
      <c r="D12" s="34" t="s">
        <v>40</v>
      </c>
      <c r="E12" s="43">
        <v>230</v>
      </c>
      <c r="F12" s="33"/>
      <c r="G12" s="33"/>
      <c r="H12" s="33"/>
      <c r="I12" s="33"/>
    </row>
    <row r="13" spans="1:9" ht="15" customHeight="1">
      <c r="A13" s="68" t="s">
        <v>72</v>
      </c>
      <c r="B13" s="71"/>
      <c r="C13" s="70"/>
      <c r="D13" s="34" t="s">
        <v>55</v>
      </c>
      <c r="E13" s="43">
        <v>65</v>
      </c>
      <c r="F13" s="33"/>
      <c r="G13" s="33"/>
      <c r="H13" s="33"/>
      <c r="I13" s="33"/>
    </row>
    <row r="14" spans="1:9" ht="15" customHeight="1">
      <c r="A14" s="68" t="s">
        <v>41</v>
      </c>
      <c r="B14" s="69"/>
      <c r="C14" s="70"/>
      <c r="D14" s="34" t="s">
        <v>40</v>
      </c>
      <c r="E14" s="43">
        <v>1200</v>
      </c>
      <c r="F14" s="33"/>
      <c r="G14" s="33"/>
      <c r="H14" s="33"/>
      <c r="I14" s="33"/>
    </row>
    <row r="15" spans="1:9" ht="15" customHeight="1">
      <c r="A15" s="68" t="s">
        <v>42</v>
      </c>
      <c r="B15" s="69"/>
      <c r="C15" s="70"/>
      <c r="D15" s="34" t="s">
        <v>40</v>
      </c>
      <c r="E15" s="43">
        <v>10</v>
      </c>
      <c r="F15" s="33"/>
      <c r="G15" s="33"/>
      <c r="H15" s="33"/>
      <c r="I15" s="33"/>
    </row>
    <row r="16" spans="1:9" ht="15" customHeight="1">
      <c r="A16" s="68" t="s">
        <v>43</v>
      </c>
      <c r="B16" s="69"/>
      <c r="C16" s="70"/>
      <c r="D16" s="34" t="s">
        <v>47</v>
      </c>
      <c r="E16" s="43">
        <f>0.25</f>
        <v>0.25</v>
      </c>
      <c r="F16" s="33"/>
      <c r="G16" s="33"/>
      <c r="H16" s="33"/>
      <c r="I16" s="33"/>
    </row>
    <row r="17" spans="1:9" ht="15" customHeight="1">
      <c r="A17" s="68" t="s">
        <v>44</v>
      </c>
      <c r="B17" s="71"/>
      <c r="C17" s="70"/>
      <c r="D17" s="34" t="s">
        <v>48</v>
      </c>
      <c r="E17" s="43">
        <v>2126</v>
      </c>
      <c r="F17" s="33"/>
      <c r="G17" s="33"/>
      <c r="H17" s="33"/>
      <c r="I17" s="33"/>
    </row>
    <row r="18" spans="1:9" ht="15" customHeight="1">
      <c r="A18" s="68" t="s">
        <v>45</v>
      </c>
      <c r="B18" s="69"/>
      <c r="C18" s="70"/>
      <c r="D18" s="34" t="s">
        <v>49</v>
      </c>
      <c r="E18" s="44">
        <v>10</v>
      </c>
      <c r="F18" s="33"/>
      <c r="G18" s="33"/>
      <c r="H18" s="33"/>
      <c r="I18" s="33"/>
    </row>
    <row r="19" spans="1:9" ht="15" customHeight="1">
      <c r="A19" s="68" t="s">
        <v>46</v>
      </c>
      <c r="B19" s="71"/>
      <c r="C19" s="70"/>
      <c r="D19" s="34" t="s">
        <v>3</v>
      </c>
      <c r="E19" s="43">
        <v>80</v>
      </c>
      <c r="F19" s="33"/>
      <c r="G19" s="33"/>
      <c r="H19" s="33"/>
      <c r="I19" s="33"/>
    </row>
    <row r="20" spans="1:9" ht="15" customHeight="1">
      <c r="A20" s="68" t="s">
        <v>50</v>
      </c>
      <c r="B20" s="69"/>
      <c r="C20" s="70"/>
      <c r="D20" s="34" t="s">
        <v>53</v>
      </c>
      <c r="E20" s="43">
        <v>2</v>
      </c>
      <c r="F20" s="33"/>
      <c r="G20" s="33"/>
      <c r="H20" s="33"/>
      <c r="I20" s="33"/>
    </row>
    <row r="21" spans="1:9" ht="15" customHeight="1">
      <c r="A21" s="68" t="s">
        <v>51</v>
      </c>
      <c r="B21" s="69"/>
      <c r="C21" s="70"/>
      <c r="D21" s="34" t="s">
        <v>9</v>
      </c>
      <c r="E21" s="43">
        <v>36.4</v>
      </c>
      <c r="F21" s="33"/>
      <c r="G21" s="33"/>
      <c r="H21" s="33"/>
      <c r="I21" s="33"/>
    </row>
    <row r="22" spans="1:9" ht="15" customHeight="1">
      <c r="A22" s="68" t="s">
        <v>52</v>
      </c>
      <c r="B22" s="69"/>
      <c r="C22" s="70"/>
      <c r="D22" s="34" t="s">
        <v>54</v>
      </c>
      <c r="E22" s="43">
        <v>1500</v>
      </c>
      <c r="F22" s="33"/>
      <c r="G22" s="33"/>
      <c r="H22" s="33"/>
      <c r="I22" s="33"/>
    </row>
    <row r="23" spans="1:9" ht="15" customHeight="1" thickBot="1">
      <c r="A23" s="84"/>
      <c r="B23" s="85"/>
      <c r="C23" s="86"/>
      <c r="D23" s="33"/>
      <c r="E23" s="33"/>
      <c r="F23" s="33"/>
      <c r="G23" s="33"/>
      <c r="H23" s="33"/>
      <c r="I23" s="33"/>
    </row>
    <row r="24" spans="1:9" ht="15" customHeight="1">
      <c r="A24" s="32"/>
      <c r="B24" s="37"/>
      <c r="C24" s="37"/>
      <c r="D24" s="33"/>
      <c r="E24" s="33"/>
      <c r="F24" s="33"/>
      <c r="G24" s="33"/>
      <c r="H24" s="33"/>
      <c r="I24" s="33"/>
    </row>
    <row r="25" spans="1:9" ht="15" customHeight="1">
      <c r="A25" s="32"/>
      <c r="B25" s="33"/>
      <c r="C25" s="33"/>
      <c r="D25" s="33"/>
      <c r="E25" s="33"/>
      <c r="F25" s="33"/>
      <c r="G25" s="33"/>
      <c r="H25" s="33"/>
      <c r="I25" s="33"/>
    </row>
    <row r="26" spans="1:5" ht="15" customHeight="1" thickBot="1">
      <c r="A26" s="1"/>
      <c r="B26" s="2"/>
      <c r="C26" s="2"/>
      <c r="D26" s="2"/>
      <c r="E26" s="2"/>
    </row>
    <row r="27" spans="1:3" ht="14.25" thickBot="1" thickTop="1">
      <c r="A27" s="35" t="s">
        <v>0</v>
      </c>
      <c r="B27" s="4" t="s">
        <v>1</v>
      </c>
      <c r="C27" s="3"/>
    </row>
    <row r="28" spans="1:3" ht="25.5" customHeight="1" thickTop="1">
      <c r="A28" s="19" t="s">
        <v>23</v>
      </c>
      <c r="B28" s="40" t="s">
        <v>6</v>
      </c>
      <c r="C28" s="41">
        <v>20</v>
      </c>
    </row>
    <row r="29" spans="1:54" ht="15" thickBot="1">
      <c r="A29" s="17" t="s">
        <v>2</v>
      </c>
      <c r="B29" s="40" t="s">
        <v>3</v>
      </c>
      <c r="C29" s="42">
        <v>8</v>
      </c>
      <c r="D29" s="15">
        <v>1</v>
      </c>
      <c r="E29" s="15">
        <f>1/(1+C29/100)</f>
        <v>0.9259259259259258</v>
      </c>
      <c r="F29" s="15">
        <f aca="true" t="shared" si="0" ref="F29:AK29">E29/(1+$C29/100)</f>
        <v>0.8573388203017831</v>
      </c>
      <c r="G29" s="15">
        <f t="shared" si="0"/>
        <v>0.7938322410201695</v>
      </c>
      <c r="H29" s="15">
        <f t="shared" si="0"/>
        <v>0.7350298527964532</v>
      </c>
      <c r="I29" s="15">
        <f t="shared" si="0"/>
        <v>0.6805831970337529</v>
      </c>
      <c r="J29" s="15">
        <f t="shared" si="0"/>
        <v>0.6301696268831045</v>
      </c>
      <c r="K29" s="15">
        <f t="shared" si="0"/>
        <v>0.5834903952621338</v>
      </c>
      <c r="L29" s="15">
        <f t="shared" si="0"/>
        <v>0.5402688845019756</v>
      </c>
      <c r="M29" s="15">
        <f t="shared" si="0"/>
        <v>0.5002489671314588</v>
      </c>
      <c r="N29" s="15">
        <f t="shared" si="0"/>
        <v>0.4631934880846841</v>
      </c>
      <c r="O29" s="15">
        <f t="shared" si="0"/>
        <v>0.4288828593376704</v>
      </c>
      <c r="P29" s="15">
        <f t="shared" si="0"/>
        <v>0.3971137586459911</v>
      </c>
      <c r="Q29" s="15">
        <f t="shared" si="0"/>
        <v>0.36769792467221396</v>
      </c>
      <c r="R29" s="15">
        <f t="shared" si="0"/>
        <v>0.3404610413631611</v>
      </c>
      <c r="S29" s="15">
        <f t="shared" si="0"/>
        <v>0.3152417049658899</v>
      </c>
      <c r="T29" s="15">
        <f t="shared" si="0"/>
        <v>0.2918904675610091</v>
      </c>
      <c r="U29" s="15">
        <f t="shared" si="0"/>
        <v>0.27026895144537877</v>
      </c>
      <c r="V29" s="15">
        <f t="shared" si="0"/>
        <v>0.2502490291160914</v>
      </c>
      <c r="W29" s="15">
        <f t="shared" si="0"/>
        <v>0.23171206399638095</v>
      </c>
      <c r="X29" s="15">
        <f t="shared" si="0"/>
        <v>0.21454820740405642</v>
      </c>
      <c r="Y29" s="15">
        <f t="shared" si="0"/>
        <v>0.19865574759634852</v>
      </c>
      <c r="Z29" s="15">
        <f t="shared" si="0"/>
        <v>0.18394050703365603</v>
      </c>
      <c r="AA29" s="15">
        <f t="shared" si="0"/>
        <v>0.17031528429042223</v>
      </c>
      <c r="AB29" s="15">
        <f t="shared" si="0"/>
        <v>0.15769933730594649</v>
      </c>
      <c r="AC29" s="15">
        <f t="shared" si="0"/>
        <v>0.14601790491291342</v>
      </c>
      <c r="AD29" s="15">
        <f t="shared" si="0"/>
        <v>0.13520176380825316</v>
      </c>
      <c r="AE29" s="15">
        <f t="shared" si="0"/>
        <v>0.12518681834097514</v>
      </c>
      <c r="AF29" s="15">
        <f t="shared" si="0"/>
        <v>0.11591372068608809</v>
      </c>
      <c r="AG29" s="15">
        <f t="shared" si="0"/>
        <v>0.10732751915378526</v>
      </c>
      <c r="AH29" s="15">
        <f t="shared" si="0"/>
        <v>0.09937733254980116</v>
      </c>
      <c r="AI29" s="15">
        <f t="shared" si="0"/>
        <v>0.09201604865722329</v>
      </c>
      <c r="AJ29" s="15">
        <f t="shared" si="0"/>
        <v>0.08520004505298452</v>
      </c>
      <c r="AK29" s="15">
        <f t="shared" si="0"/>
        <v>0.0788889306046153</v>
      </c>
      <c r="AL29" s="15">
        <f aca="true" t="shared" si="1" ref="AL29:BB29">AK29/(1+$C29/100)</f>
        <v>0.07304530611538453</v>
      </c>
      <c r="AM29" s="15">
        <f t="shared" si="1"/>
        <v>0.06763454269943012</v>
      </c>
      <c r="AN29" s="15">
        <f t="shared" si="1"/>
        <v>0.0626245765735464</v>
      </c>
      <c r="AO29" s="15">
        <f t="shared" si="1"/>
        <v>0.057985719049580005</v>
      </c>
      <c r="AP29" s="15">
        <f t="shared" si="1"/>
        <v>0.05369048060146296</v>
      </c>
      <c r="AQ29" s="15">
        <f t="shared" si="1"/>
        <v>0.04971340796431755</v>
      </c>
      <c r="AR29" s="15">
        <f t="shared" si="1"/>
        <v>0.04603093330029402</v>
      </c>
      <c r="AS29" s="15">
        <f t="shared" si="1"/>
        <v>0.042621234537309274</v>
      </c>
      <c r="AT29" s="15">
        <f t="shared" si="1"/>
        <v>0.03946410605306414</v>
      </c>
      <c r="AU29" s="15">
        <f t="shared" si="1"/>
        <v>0.03654083893802235</v>
      </c>
      <c r="AV29" s="15">
        <f t="shared" si="1"/>
        <v>0.033834110127798474</v>
      </c>
      <c r="AW29" s="15">
        <f t="shared" si="1"/>
        <v>0.03132787974796155</v>
      </c>
      <c r="AX29" s="15">
        <f t="shared" si="1"/>
        <v>0.02900729606292736</v>
      </c>
      <c r="AY29" s="15">
        <f t="shared" si="1"/>
        <v>0.02685860746567348</v>
      </c>
      <c r="AZ29" s="15">
        <f t="shared" si="1"/>
        <v>0.0248690809867347</v>
      </c>
      <c r="BA29" s="15">
        <f t="shared" si="1"/>
        <v>0.023026926839569164</v>
      </c>
      <c r="BB29" s="15">
        <f t="shared" si="1"/>
        <v>0.02132122855515663</v>
      </c>
    </row>
    <row r="30" ht="15" thickBot="1">
      <c r="D30" s="29" t="s">
        <v>5</v>
      </c>
    </row>
    <row r="31" spans="1:54" ht="15.75" thickBot="1">
      <c r="A31" s="20" t="s">
        <v>22</v>
      </c>
      <c r="B31" s="18" t="s">
        <v>18</v>
      </c>
      <c r="C31" s="16">
        <f>C32+C52</f>
        <v>2954086.2995387735</v>
      </c>
      <c r="D31" s="29">
        <v>0</v>
      </c>
      <c r="E31" s="29">
        <f aca="true" t="shared" si="2" ref="E31:AJ31">IF(D31&lt;$C28,D31+1,"")</f>
        <v>1</v>
      </c>
      <c r="F31" s="29">
        <f t="shared" si="2"/>
        <v>2</v>
      </c>
      <c r="G31" s="29">
        <f t="shared" si="2"/>
        <v>3</v>
      </c>
      <c r="H31" s="29">
        <f t="shared" si="2"/>
        <v>4</v>
      </c>
      <c r="I31" s="29">
        <f t="shared" si="2"/>
        <v>5</v>
      </c>
      <c r="J31" s="29">
        <f t="shared" si="2"/>
        <v>6</v>
      </c>
      <c r="K31" s="29">
        <f t="shared" si="2"/>
        <v>7</v>
      </c>
      <c r="L31" s="29">
        <f t="shared" si="2"/>
        <v>8</v>
      </c>
      <c r="M31" s="29">
        <f t="shared" si="2"/>
        <v>9</v>
      </c>
      <c r="N31" s="29">
        <f t="shared" si="2"/>
        <v>10</v>
      </c>
      <c r="O31" s="29">
        <f t="shared" si="2"/>
        <v>11</v>
      </c>
      <c r="P31" s="29">
        <f t="shared" si="2"/>
        <v>12</v>
      </c>
      <c r="Q31" s="29">
        <f t="shared" si="2"/>
        <v>13</v>
      </c>
      <c r="R31" s="29">
        <f t="shared" si="2"/>
        <v>14</v>
      </c>
      <c r="S31" s="29">
        <f t="shared" si="2"/>
        <v>15</v>
      </c>
      <c r="T31" s="29">
        <f t="shared" si="2"/>
        <v>16</v>
      </c>
      <c r="U31" s="29">
        <f t="shared" si="2"/>
        <v>17</v>
      </c>
      <c r="V31" s="29">
        <f t="shared" si="2"/>
        <v>18</v>
      </c>
      <c r="W31" s="29">
        <f t="shared" si="2"/>
        <v>19</v>
      </c>
      <c r="X31" s="29">
        <f t="shared" si="2"/>
        <v>20</v>
      </c>
      <c r="Y31" s="29">
        <f t="shared" si="2"/>
      </c>
      <c r="Z31" s="29">
        <f t="shared" si="2"/>
      </c>
      <c r="AA31" s="29">
        <f t="shared" si="2"/>
      </c>
      <c r="AB31" s="29">
        <f t="shared" si="2"/>
      </c>
      <c r="AC31" s="29">
        <f t="shared" si="2"/>
      </c>
      <c r="AD31" s="29">
        <f t="shared" si="2"/>
      </c>
      <c r="AE31" s="29">
        <f t="shared" si="2"/>
      </c>
      <c r="AF31" s="29">
        <f t="shared" si="2"/>
      </c>
      <c r="AG31" s="29">
        <f t="shared" si="2"/>
      </c>
      <c r="AH31" s="29">
        <f t="shared" si="2"/>
      </c>
      <c r="AI31" s="29">
        <f t="shared" si="2"/>
      </c>
      <c r="AJ31" s="29">
        <f t="shared" si="2"/>
      </c>
      <c r="AK31" s="29">
        <f aca="true" t="shared" si="3" ref="AK31:BB31">IF(AJ31&lt;$C28,AJ31+1,"")</f>
      </c>
      <c r="AL31" s="29">
        <f t="shared" si="3"/>
      </c>
      <c r="AM31" s="29">
        <f t="shared" si="3"/>
      </c>
      <c r="AN31" s="29">
        <f t="shared" si="3"/>
      </c>
      <c r="AO31" s="29">
        <f t="shared" si="3"/>
      </c>
      <c r="AP31" s="29">
        <f t="shared" si="3"/>
      </c>
      <c r="AQ31" s="29">
        <f t="shared" si="3"/>
      </c>
      <c r="AR31" s="29">
        <f t="shared" si="3"/>
      </c>
      <c r="AS31" s="29">
        <f t="shared" si="3"/>
      </c>
      <c r="AT31" s="29">
        <f t="shared" si="3"/>
      </c>
      <c r="AU31" s="29">
        <f t="shared" si="3"/>
      </c>
      <c r="AV31" s="29">
        <f t="shared" si="3"/>
      </c>
      <c r="AW31" s="29">
        <f t="shared" si="3"/>
      </c>
      <c r="AX31" s="29">
        <f t="shared" si="3"/>
      </c>
      <c r="AY31" s="29">
        <f t="shared" si="3"/>
      </c>
      <c r="AZ31" s="29">
        <f t="shared" si="3"/>
      </c>
      <c r="BA31" s="29">
        <f t="shared" si="3"/>
      </c>
      <c r="BB31" s="29">
        <f t="shared" si="3"/>
      </c>
    </row>
    <row r="32" spans="1:54" ht="19.5" thickBot="1">
      <c r="A32" s="26" t="s">
        <v>10</v>
      </c>
      <c r="B32" s="21" t="s">
        <v>18</v>
      </c>
      <c r="C32" s="16">
        <f>SUM(D32:BB32)</f>
        <v>862402.5015042154</v>
      </c>
      <c r="D32" s="27">
        <f aca="true" t="shared" si="4" ref="D32:AI32">D33*D29</f>
        <v>847348.7131414632</v>
      </c>
      <c r="E32" s="27">
        <f t="shared" si="4"/>
        <v>0</v>
      </c>
      <c r="F32" s="27">
        <f t="shared" si="4"/>
        <v>0</v>
      </c>
      <c r="G32" s="27">
        <f t="shared" si="4"/>
        <v>0</v>
      </c>
      <c r="H32" s="27">
        <f t="shared" si="4"/>
        <v>0</v>
      </c>
      <c r="I32" s="27">
        <f t="shared" si="4"/>
        <v>0</v>
      </c>
      <c r="J32" s="27">
        <f t="shared" si="4"/>
        <v>0</v>
      </c>
      <c r="K32" s="27">
        <f t="shared" si="4"/>
        <v>0</v>
      </c>
      <c r="L32" s="27">
        <f t="shared" si="4"/>
        <v>0</v>
      </c>
      <c r="M32" s="27">
        <f t="shared" si="4"/>
        <v>0</v>
      </c>
      <c r="N32" s="27">
        <f t="shared" si="4"/>
        <v>15053.788362752233</v>
      </c>
      <c r="O32" s="27">
        <f t="shared" si="4"/>
        <v>0</v>
      </c>
      <c r="P32" s="27">
        <f t="shared" si="4"/>
        <v>0</v>
      </c>
      <c r="Q32" s="27">
        <f t="shared" si="4"/>
        <v>0</v>
      </c>
      <c r="R32" s="27">
        <f t="shared" si="4"/>
        <v>0</v>
      </c>
      <c r="S32" s="27">
        <f t="shared" si="4"/>
        <v>0</v>
      </c>
      <c r="T32" s="27">
        <f t="shared" si="4"/>
        <v>0</v>
      </c>
      <c r="U32" s="27">
        <f t="shared" si="4"/>
        <v>0</v>
      </c>
      <c r="V32" s="27">
        <f t="shared" si="4"/>
        <v>0</v>
      </c>
      <c r="W32" s="27">
        <f t="shared" si="4"/>
        <v>0</v>
      </c>
      <c r="X32" s="27">
        <f t="shared" si="4"/>
        <v>0</v>
      </c>
      <c r="Y32" s="27">
        <f t="shared" si="4"/>
        <v>0</v>
      </c>
      <c r="Z32" s="27">
        <f t="shared" si="4"/>
        <v>0</v>
      </c>
      <c r="AA32" s="27">
        <f t="shared" si="4"/>
        <v>0</v>
      </c>
      <c r="AB32" s="27">
        <f t="shared" si="4"/>
        <v>0</v>
      </c>
      <c r="AC32" s="27">
        <f t="shared" si="4"/>
        <v>0</v>
      </c>
      <c r="AD32" s="27">
        <f t="shared" si="4"/>
        <v>0</v>
      </c>
      <c r="AE32" s="27">
        <f t="shared" si="4"/>
        <v>0</v>
      </c>
      <c r="AF32" s="27">
        <f t="shared" si="4"/>
        <v>0</v>
      </c>
      <c r="AG32" s="27">
        <f t="shared" si="4"/>
        <v>0</v>
      </c>
      <c r="AH32" s="27">
        <f t="shared" si="4"/>
        <v>0</v>
      </c>
      <c r="AI32" s="27">
        <f t="shared" si="4"/>
        <v>0</v>
      </c>
      <c r="AJ32" s="27">
        <f aca="true" t="shared" si="5" ref="AJ32:BB32">AJ33*AJ29</f>
        <v>0</v>
      </c>
      <c r="AK32" s="27">
        <f t="shared" si="5"/>
        <v>0</v>
      </c>
      <c r="AL32" s="27">
        <f t="shared" si="5"/>
        <v>0</v>
      </c>
      <c r="AM32" s="27">
        <f t="shared" si="5"/>
        <v>0</v>
      </c>
      <c r="AN32" s="27">
        <f t="shared" si="5"/>
        <v>0</v>
      </c>
      <c r="AO32" s="27">
        <f t="shared" si="5"/>
        <v>0</v>
      </c>
      <c r="AP32" s="27">
        <f t="shared" si="5"/>
        <v>0</v>
      </c>
      <c r="AQ32" s="27">
        <f t="shared" si="5"/>
        <v>0</v>
      </c>
      <c r="AR32" s="27">
        <f t="shared" si="5"/>
        <v>0</v>
      </c>
      <c r="AS32" s="27">
        <f t="shared" si="5"/>
        <v>0</v>
      </c>
      <c r="AT32" s="27">
        <f t="shared" si="5"/>
        <v>0</v>
      </c>
      <c r="AU32" s="27">
        <f t="shared" si="5"/>
        <v>0</v>
      </c>
      <c r="AV32" s="27">
        <f t="shared" si="5"/>
        <v>0</v>
      </c>
      <c r="AW32" s="27">
        <f t="shared" si="5"/>
        <v>0</v>
      </c>
      <c r="AX32" s="27">
        <f t="shared" si="5"/>
        <v>0</v>
      </c>
      <c r="AY32" s="27">
        <f t="shared" si="5"/>
        <v>0</v>
      </c>
      <c r="AZ32" s="27">
        <f t="shared" si="5"/>
        <v>0</v>
      </c>
      <c r="BA32" s="27">
        <f t="shared" si="5"/>
        <v>0</v>
      </c>
      <c r="BB32" s="27">
        <f t="shared" si="5"/>
        <v>0</v>
      </c>
    </row>
    <row r="33" spans="1:54" ht="14.25" customHeight="1">
      <c r="A33" s="30" t="s">
        <v>25</v>
      </c>
      <c r="B33" s="28" t="s">
        <v>18</v>
      </c>
      <c r="C33" s="12">
        <f>C35+C36+C40+C42</f>
        <v>1995</v>
      </c>
      <c r="D33" s="49">
        <f aca="true" t="shared" si="6" ref="D33:X33">D35+D36+D41+D43</f>
        <v>847348.7131414632</v>
      </c>
      <c r="E33" s="49">
        <f t="shared" si="6"/>
        <v>0</v>
      </c>
      <c r="F33" s="49">
        <f t="shared" si="6"/>
        <v>0</v>
      </c>
      <c r="G33" s="49">
        <f t="shared" si="6"/>
        <v>0</v>
      </c>
      <c r="H33" s="49">
        <f t="shared" si="6"/>
        <v>0</v>
      </c>
      <c r="I33" s="49">
        <f t="shared" si="6"/>
        <v>0</v>
      </c>
      <c r="J33" s="49">
        <f t="shared" si="6"/>
        <v>0</v>
      </c>
      <c r="K33" s="49">
        <f t="shared" si="6"/>
        <v>0</v>
      </c>
      <c r="L33" s="49">
        <f t="shared" si="6"/>
        <v>0</v>
      </c>
      <c r="M33" s="49">
        <f t="shared" si="6"/>
        <v>0</v>
      </c>
      <c r="N33" s="49">
        <f t="shared" si="6"/>
        <v>32500</v>
      </c>
      <c r="O33" s="49">
        <f t="shared" si="6"/>
        <v>0</v>
      </c>
      <c r="P33" s="49">
        <f t="shared" si="6"/>
        <v>0</v>
      </c>
      <c r="Q33" s="49">
        <f t="shared" si="6"/>
        <v>0</v>
      </c>
      <c r="R33" s="49">
        <f t="shared" si="6"/>
        <v>0</v>
      </c>
      <c r="S33" s="49">
        <f t="shared" si="6"/>
        <v>0</v>
      </c>
      <c r="T33" s="49">
        <f t="shared" si="6"/>
        <v>0</v>
      </c>
      <c r="U33" s="49">
        <f t="shared" si="6"/>
        <v>0</v>
      </c>
      <c r="V33" s="49">
        <f t="shared" si="6"/>
        <v>0</v>
      </c>
      <c r="W33" s="49">
        <f t="shared" si="6"/>
        <v>0</v>
      </c>
      <c r="X33" s="49">
        <f t="shared" si="6"/>
        <v>0</v>
      </c>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row>
    <row r="34" spans="1:3" ht="12.75">
      <c r="A34" s="13" t="s">
        <v>11</v>
      </c>
      <c r="C34" s="9"/>
    </row>
    <row r="35" spans="1:4" ht="12.75">
      <c r="A35" s="45" t="s">
        <v>59</v>
      </c>
      <c r="B35" s="46" t="s">
        <v>55</v>
      </c>
      <c r="C35" s="47">
        <f>E12</f>
        <v>230</v>
      </c>
      <c r="D35" s="56">
        <f>C35*1000*0.5</f>
        <v>115000</v>
      </c>
    </row>
    <row r="36" spans="1:14" ht="12.75">
      <c r="A36" s="45" t="s">
        <v>58</v>
      </c>
      <c r="B36" s="46" t="s">
        <v>55</v>
      </c>
      <c r="C36" s="47">
        <f>E13</f>
        <v>65</v>
      </c>
      <c r="D36" s="56">
        <f>C36*1000*0.5</f>
        <v>32500</v>
      </c>
      <c r="N36">
        <f>D36</f>
        <v>32500</v>
      </c>
    </row>
    <row r="37" ht="12.75">
      <c r="C37" s="9"/>
    </row>
    <row r="38" ht="12.75">
      <c r="A38" s="13" t="s">
        <v>12</v>
      </c>
    </row>
    <row r="39" spans="1:3" ht="12.75">
      <c r="A39" t="s">
        <v>20</v>
      </c>
      <c r="B39" s="8" t="s">
        <v>6</v>
      </c>
      <c r="C39">
        <v>40</v>
      </c>
    </row>
    <row r="40" spans="1:3" ht="12.75">
      <c r="A40" s="45" t="s">
        <v>41</v>
      </c>
      <c r="B40" s="46" t="s">
        <v>55</v>
      </c>
      <c r="C40" s="45">
        <f>E14</f>
        <v>1200</v>
      </c>
    </row>
    <row r="41" spans="1:4" ht="12.75">
      <c r="A41" s="45" t="s">
        <v>56</v>
      </c>
      <c r="B41" s="46" t="s">
        <v>55</v>
      </c>
      <c r="C41" s="48">
        <f>C40*C46</f>
        <v>988.0217126703011</v>
      </c>
      <c r="D41" s="57">
        <f>C41*1000*0.5</f>
        <v>494010.85633515054</v>
      </c>
    </row>
    <row r="42" spans="1:3" ht="12.75">
      <c r="A42" s="45" t="s">
        <v>57</v>
      </c>
      <c r="B42" s="46" t="s">
        <v>55</v>
      </c>
      <c r="C42" s="45">
        <f>E15*E8</f>
        <v>500</v>
      </c>
    </row>
    <row r="43" spans="1:4" ht="12.75">
      <c r="A43" s="45" t="s">
        <v>56</v>
      </c>
      <c r="B43" s="46" t="s">
        <v>55</v>
      </c>
      <c r="C43" s="48">
        <f>C42*C46</f>
        <v>411.67571361262543</v>
      </c>
      <c r="D43" s="57">
        <f>C43*1000*0.5</f>
        <v>205837.85680631272</v>
      </c>
    </row>
    <row r="45" spans="1:3" ht="12.75">
      <c r="A45" s="11" t="s">
        <v>21</v>
      </c>
      <c r="B45" s="8" t="s">
        <v>18</v>
      </c>
      <c r="C45" s="24"/>
    </row>
    <row r="46" spans="1:3" ht="14.25" customHeight="1">
      <c r="A46" s="23" t="s">
        <v>24</v>
      </c>
      <c r="B46" s="22"/>
      <c r="C46" s="17">
        <f>(1-POWER(1+C29/100,-C28))/(1-POWER(1+C29/100,-C39))</f>
        <v>0.8233514272252509</v>
      </c>
    </row>
    <row r="47" spans="1:3" ht="12.75">
      <c r="A47" s="10"/>
      <c r="B47" s="8"/>
      <c r="C47" s="12"/>
    </row>
    <row r="48" spans="1:3" ht="12.75">
      <c r="A48" s="10"/>
      <c r="C48" s="12"/>
    </row>
    <row r="49" spans="1:3" ht="12.75">
      <c r="A49" s="14" t="s">
        <v>13</v>
      </c>
      <c r="C49" s="12"/>
    </row>
    <row r="50" spans="1:3" ht="12.75">
      <c r="A50" s="10"/>
      <c r="C50" s="12"/>
    </row>
    <row r="51" spans="4:54" ht="15" thickBot="1">
      <c r="D51" s="29" t="s">
        <v>5</v>
      </c>
      <c r="E51" s="29">
        <f aca="true" t="shared" si="7" ref="E51:AJ51">E31</f>
        <v>1</v>
      </c>
      <c r="F51" s="29">
        <f t="shared" si="7"/>
        <v>2</v>
      </c>
      <c r="G51" s="29">
        <f t="shared" si="7"/>
        <v>3</v>
      </c>
      <c r="H51" s="29">
        <f t="shared" si="7"/>
        <v>4</v>
      </c>
      <c r="I51" s="29">
        <f t="shared" si="7"/>
        <v>5</v>
      </c>
      <c r="J51" s="29">
        <f t="shared" si="7"/>
        <v>6</v>
      </c>
      <c r="K51" s="29">
        <f t="shared" si="7"/>
        <v>7</v>
      </c>
      <c r="L51" s="29">
        <f t="shared" si="7"/>
        <v>8</v>
      </c>
      <c r="M51" s="29">
        <f t="shared" si="7"/>
        <v>9</v>
      </c>
      <c r="N51" s="29">
        <f t="shared" si="7"/>
        <v>10</v>
      </c>
      <c r="O51" s="29">
        <f t="shared" si="7"/>
        <v>11</v>
      </c>
      <c r="P51" s="29">
        <f t="shared" si="7"/>
        <v>12</v>
      </c>
      <c r="Q51" s="29">
        <f t="shared" si="7"/>
        <v>13</v>
      </c>
      <c r="R51" s="29">
        <f t="shared" si="7"/>
        <v>14</v>
      </c>
      <c r="S51" s="29">
        <f t="shared" si="7"/>
        <v>15</v>
      </c>
      <c r="T51" s="29">
        <f t="shared" si="7"/>
        <v>16</v>
      </c>
      <c r="U51" s="29">
        <f t="shared" si="7"/>
        <v>17</v>
      </c>
      <c r="V51" s="29">
        <f t="shared" si="7"/>
        <v>18</v>
      </c>
      <c r="W51" s="29">
        <f t="shared" si="7"/>
        <v>19</v>
      </c>
      <c r="X51" s="29">
        <f t="shared" si="7"/>
        <v>20</v>
      </c>
      <c r="Y51" s="29">
        <f t="shared" si="7"/>
      </c>
      <c r="Z51" s="29">
        <f t="shared" si="7"/>
      </c>
      <c r="AA51" s="29">
        <f t="shared" si="7"/>
      </c>
      <c r="AB51" s="29">
        <f t="shared" si="7"/>
      </c>
      <c r="AC51" s="29">
        <f t="shared" si="7"/>
      </c>
      <c r="AD51" s="29">
        <f t="shared" si="7"/>
      </c>
      <c r="AE51" s="29">
        <f t="shared" si="7"/>
      </c>
      <c r="AF51" s="29">
        <f t="shared" si="7"/>
      </c>
      <c r="AG51" s="29">
        <f t="shared" si="7"/>
      </c>
      <c r="AH51" s="29">
        <f t="shared" si="7"/>
      </c>
      <c r="AI51" s="29">
        <f t="shared" si="7"/>
      </c>
      <c r="AJ51" s="29">
        <f t="shared" si="7"/>
      </c>
      <c r="AK51" s="29">
        <f aca="true" t="shared" si="8" ref="AK51:BB51">AK31</f>
      </c>
      <c r="AL51" s="29">
        <f t="shared" si="8"/>
      </c>
      <c r="AM51" s="29">
        <f t="shared" si="8"/>
      </c>
      <c r="AN51" s="29">
        <f t="shared" si="8"/>
      </c>
      <c r="AO51" s="29">
        <f t="shared" si="8"/>
      </c>
      <c r="AP51" s="29">
        <f t="shared" si="8"/>
      </c>
      <c r="AQ51" s="29">
        <f t="shared" si="8"/>
      </c>
      <c r="AR51" s="29">
        <f t="shared" si="8"/>
      </c>
      <c r="AS51" s="29">
        <f t="shared" si="8"/>
      </c>
      <c r="AT51" s="29">
        <f t="shared" si="8"/>
      </c>
      <c r="AU51" s="29">
        <f t="shared" si="8"/>
      </c>
      <c r="AV51" s="29">
        <f t="shared" si="8"/>
      </c>
      <c r="AW51" s="29">
        <f t="shared" si="8"/>
      </c>
      <c r="AX51" s="29">
        <f t="shared" si="8"/>
      </c>
      <c r="AY51" s="29">
        <f t="shared" si="8"/>
      </c>
      <c r="AZ51" s="29">
        <f t="shared" si="8"/>
      </c>
      <c r="BA51" s="29">
        <f t="shared" si="8"/>
      </c>
      <c r="BB51" s="29">
        <f t="shared" si="8"/>
      </c>
    </row>
    <row r="52" spans="1:54" ht="19.5" thickBot="1">
      <c r="A52" s="26" t="s">
        <v>16</v>
      </c>
      <c r="B52" s="22" t="s">
        <v>18</v>
      </c>
      <c r="C52" s="16">
        <f>SUM(E52:BB52)</f>
        <v>2091683.7980345578</v>
      </c>
      <c r="D52" s="2"/>
      <c r="E52" s="27">
        <f aca="true" t="shared" si="9" ref="E52:AJ52">E53*E29</f>
        <v>197261.68054575621</v>
      </c>
      <c r="F52" s="27">
        <f t="shared" si="9"/>
        <v>182649.70420903352</v>
      </c>
      <c r="G52" s="27">
        <f t="shared" si="9"/>
        <v>169120.09648984583</v>
      </c>
      <c r="H52" s="27">
        <f t="shared" si="9"/>
        <v>156592.68193504243</v>
      </c>
      <c r="I52" s="27">
        <f t="shared" si="9"/>
        <v>144993.22401392818</v>
      </c>
      <c r="J52" s="27">
        <f t="shared" si="9"/>
        <v>134252.98519808165</v>
      </c>
      <c r="K52" s="27">
        <f t="shared" si="9"/>
        <v>124308.31962785334</v>
      </c>
      <c r="L52" s="27">
        <f t="shared" si="9"/>
        <v>115100.29595171605</v>
      </c>
      <c r="M52" s="27">
        <f t="shared" si="9"/>
        <v>106574.34810344077</v>
      </c>
      <c r="N52" s="27">
        <f t="shared" si="9"/>
        <v>98679.95194763034</v>
      </c>
      <c r="O52" s="27">
        <f t="shared" si="9"/>
        <v>91370.32587743549</v>
      </c>
      <c r="P52" s="27">
        <f t="shared" si="9"/>
        <v>84602.15359021803</v>
      </c>
      <c r="Q52" s="27">
        <f t="shared" si="9"/>
        <v>78335.32739835004</v>
      </c>
      <c r="R52" s="27">
        <f t="shared" si="9"/>
        <v>72532.71055402781</v>
      </c>
      <c r="S52" s="27">
        <f t="shared" si="9"/>
        <v>67159.91717965539</v>
      </c>
      <c r="T52" s="27">
        <f t="shared" si="9"/>
        <v>62185.1084996809</v>
      </c>
      <c r="U52" s="27">
        <f t="shared" si="9"/>
        <v>57578.80416637119</v>
      </c>
      <c r="V52" s="27">
        <f t="shared" si="9"/>
        <v>53313.7075614548</v>
      </c>
      <c r="W52" s="27">
        <f t="shared" si="9"/>
        <v>49364.544038384076</v>
      </c>
      <c r="X52" s="27">
        <f t="shared" si="9"/>
        <v>45707.91114665192</v>
      </c>
      <c r="Y52" s="27">
        <f t="shared" si="9"/>
        <v>0</v>
      </c>
      <c r="Z52" s="27">
        <f t="shared" si="9"/>
        <v>0</v>
      </c>
      <c r="AA52" s="27">
        <f t="shared" si="9"/>
        <v>0</v>
      </c>
      <c r="AB52" s="27">
        <f t="shared" si="9"/>
        <v>0</v>
      </c>
      <c r="AC52" s="27">
        <f t="shared" si="9"/>
        <v>0</v>
      </c>
      <c r="AD52" s="27">
        <f t="shared" si="9"/>
        <v>0</v>
      </c>
      <c r="AE52" s="27">
        <f t="shared" si="9"/>
        <v>0</v>
      </c>
      <c r="AF52" s="27">
        <f t="shared" si="9"/>
        <v>0</v>
      </c>
      <c r="AG52" s="27">
        <f t="shared" si="9"/>
        <v>0</v>
      </c>
      <c r="AH52" s="27">
        <f t="shared" si="9"/>
        <v>0</v>
      </c>
      <c r="AI52" s="27">
        <f t="shared" si="9"/>
        <v>0</v>
      </c>
      <c r="AJ52" s="27">
        <f t="shared" si="9"/>
        <v>0</v>
      </c>
      <c r="AK52" s="27">
        <f aca="true" t="shared" si="10" ref="AK52:BB52">AK53*AK29</f>
        <v>0</v>
      </c>
      <c r="AL52" s="27">
        <f t="shared" si="10"/>
        <v>0</v>
      </c>
      <c r="AM52" s="27">
        <f t="shared" si="10"/>
        <v>0</v>
      </c>
      <c r="AN52" s="27">
        <f t="shared" si="10"/>
        <v>0</v>
      </c>
      <c r="AO52" s="27">
        <f t="shared" si="10"/>
        <v>0</v>
      </c>
      <c r="AP52" s="27">
        <f t="shared" si="10"/>
        <v>0</v>
      </c>
      <c r="AQ52" s="27">
        <f t="shared" si="10"/>
        <v>0</v>
      </c>
      <c r="AR52" s="27">
        <f t="shared" si="10"/>
        <v>0</v>
      </c>
      <c r="AS52" s="27">
        <f t="shared" si="10"/>
        <v>0</v>
      </c>
      <c r="AT52" s="27">
        <f t="shared" si="10"/>
        <v>0</v>
      </c>
      <c r="AU52" s="27">
        <f t="shared" si="10"/>
        <v>0</v>
      </c>
      <c r="AV52" s="27">
        <f t="shared" si="10"/>
        <v>0</v>
      </c>
      <c r="AW52" s="27">
        <f t="shared" si="10"/>
        <v>0</v>
      </c>
      <c r="AX52" s="27">
        <f t="shared" si="10"/>
        <v>0</v>
      </c>
      <c r="AY52" s="27">
        <f t="shared" si="10"/>
        <v>0</v>
      </c>
      <c r="AZ52" s="27">
        <f t="shared" si="10"/>
        <v>0</v>
      </c>
      <c r="BA52" s="27">
        <f t="shared" si="10"/>
        <v>0</v>
      </c>
      <c r="BB52" s="27">
        <f t="shared" si="10"/>
        <v>0</v>
      </c>
    </row>
    <row r="53" spans="1:54" ht="15.75" thickBot="1">
      <c r="A53" s="30" t="s">
        <v>26</v>
      </c>
      <c r="B53" s="8" t="s">
        <v>18</v>
      </c>
      <c r="C53" s="16">
        <f>SUM(E53:BB53)</f>
        <v>4260852.299788334</v>
      </c>
      <c r="E53" s="49">
        <f aca="true" t="shared" si="11" ref="E53:X53">E57+E61+E64</f>
        <v>213042.61498941673</v>
      </c>
      <c r="F53" s="49">
        <f t="shared" si="11"/>
        <v>213042.61498941673</v>
      </c>
      <c r="G53" s="49">
        <f t="shared" si="11"/>
        <v>213042.61498941673</v>
      </c>
      <c r="H53" s="49">
        <f t="shared" si="11"/>
        <v>213042.61498941673</v>
      </c>
      <c r="I53" s="49">
        <f t="shared" si="11"/>
        <v>213042.61498941673</v>
      </c>
      <c r="J53" s="49">
        <f t="shared" si="11"/>
        <v>213042.61498941673</v>
      </c>
      <c r="K53" s="49">
        <f t="shared" si="11"/>
        <v>213042.61498941673</v>
      </c>
      <c r="L53" s="49">
        <f t="shared" si="11"/>
        <v>213042.61498941673</v>
      </c>
      <c r="M53" s="49">
        <f t="shared" si="11"/>
        <v>213042.61498941673</v>
      </c>
      <c r="N53" s="49">
        <f t="shared" si="11"/>
        <v>213042.61498941673</v>
      </c>
      <c r="O53" s="49">
        <f t="shared" si="11"/>
        <v>213042.61498941673</v>
      </c>
      <c r="P53" s="49">
        <f t="shared" si="11"/>
        <v>213042.61498941673</v>
      </c>
      <c r="Q53" s="49">
        <f t="shared" si="11"/>
        <v>213042.61498941673</v>
      </c>
      <c r="R53" s="49">
        <f t="shared" si="11"/>
        <v>213042.61498941673</v>
      </c>
      <c r="S53" s="49">
        <f t="shared" si="11"/>
        <v>213042.61498941673</v>
      </c>
      <c r="T53" s="49">
        <f t="shared" si="11"/>
        <v>213042.61498941673</v>
      </c>
      <c r="U53" s="49">
        <f t="shared" si="11"/>
        <v>213042.61498941673</v>
      </c>
      <c r="V53" s="49">
        <f t="shared" si="11"/>
        <v>213042.61498941673</v>
      </c>
      <c r="W53" s="49">
        <f t="shared" si="11"/>
        <v>213042.61498941673</v>
      </c>
      <c r="X53" s="49">
        <f t="shared" si="11"/>
        <v>213042.61498941673</v>
      </c>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row>
    <row r="54" ht="12.75">
      <c r="A54" s="13" t="s">
        <v>14</v>
      </c>
    </row>
    <row r="55" spans="1:3" ht="12.75">
      <c r="A55" s="50" t="s">
        <v>65</v>
      </c>
      <c r="B55" s="46" t="s">
        <v>60</v>
      </c>
      <c r="C55" s="45">
        <f>(E8*E9*E10+E11*E8*12*51)/1000</f>
        <v>871.8</v>
      </c>
    </row>
    <row r="56" spans="1:3" ht="12.75">
      <c r="A56" s="50" t="s">
        <v>61</v>
      </c>
      <c r="B56" s="46" t="s">
        <v>62</v>
      </c>
      <c r="C56" s="52">
        <f>C55/(E19/100)*859845/E17/1000</f>
        <v>440.74133995766687</v>
      </c>
    </row>
    <row r="57" spans="1:24" ht="12.75">
      <c r="A57" s="50" t="s">
        <v>63</v>
      </c>
      <c r="B57" s="46" t="s">
        <v>64</v>
      </c>
      <c r="C57" s="53">
        <f>C56*E16</f>
        <v>110.18533498941672</v>
      </c>
      <c r="E57" s="51">
        <f>C57*1000</f>
        <v>110185.33498941672</v>
      </c>
      <c r="F57" s="48">
        <f aca="true" t="shared" si="12" ref="F57:X57">E57</f>
        <v>110185.33498941672</v>
      </c>
      <c r="G57" s="48">
        <f t="shared" si="12"/>
        <v>110185.33498941672</v>
      </c>
      <c r="H57" s="48">
        <f t="shared" si="12"/>
        <v>110185.33498941672</v>
      </c>
      <c r="I57" s="48">
        <f t="shared" si="12"/>
        <v>110185.33498941672</v>
      </c>
      <c r="J57" s="48">
        <f t="shared" si="12"/>
        <v>110185.33498941672</v>
      </c>
      <c r="K57" s="48">
        <f t="shared" si="12"/>
        <v>110185.33498941672</v>
      </c>
      <c r="L57" s="48">
        <f t="shared" si="12"/>
        <v>110185.33498941672</v>
      </c>
      <c r="M57" s="48">
        <f t="shared" si="12"/>
        <v>110185.33498941672</v>
      </c>
      <c r="N57" s="48">
        <f t="shared" si="12"/>
        <v>110185.33498941672</v>
      </c>
      <c r="O57" s="48">
        <f t="shared" si="12"/>
        <v>110185.33498941672</v>
      </c>
      <c r="P57" s="48">
        <f t="shared" si="12"/>
        <v>110185.33498941672</v>
      </c>
      <c r="Q57" s="48">
        <f t="shared" si="12"/>
        <v>110185.33498941672</v>
      </c>
      <c r="R57" s="48">
        <f t="shared" si="12"/>
        <v>110185.33498941672</v>
      </c>
      <c r="S57" s="48">
        <f t="shared" si="12"/>
        <v>110185.33498941672</v>
      </c>
      <c r="T57" s="48">
        <f t="shared" si="12"/>
        <v>110185.33498941672</v>
      </c>
      <c r="U57" s="48">
        <f t="shared" si="12"/>
        <v>110185.33498941672</v>
      </c>
      <c r="V57" s="48">
        <f t="shared" si="12"/>
        <v>110185.33498941672</v>
      </c>
      <c r="W57" s="48">
        <f t="shared" si="12"/>
        <v>110185.33498941672</v>
      </c>
      <c r="X57" s="48">
        <f t="shared" si="12"/>
        <v>110185.33498941672</v>
      </c>
    </row>
    <row r="59" ht="12.75">
      <c r="A59" s="13" t="s">
        <v>15</v>
      </c>
    </row>
    <row r="60" spans="1:3" ht="12.75">
      <c r="A60" s="50" t="s">
        <v>66</v>
      </c>
      <c r="B60" s="46" t="s">
        <v>67</v>
      </c>
      <c r="C60" s="45">
        <f>E20*365*24</f>
        <v>17520</v>
      </c>
    </row>
    <row r="61" spans="1:24" ht="12.75">
      <c r="A61" s="50" t="s">
        <v>68</v>
      </c>
      <c r="B61" s="46" t="s">
        <v>69</v>
      </c>
      <c r="C61" s="45">
        <f>C60*E21/100</f>
        <v>6377.28</v>
      </c>
      <c r="E61">
        <f>C61</f>
        <v>6377.28</v>
      </c>
      <c r="F61">
        <f aca="true" t="shared" si="13" ref="F61:X61">E61</f>
        <v>6377.28</v>
      </c>
      <c r="G61">
        <f t="shared" si="13"/>
        <v>6377.28</v>
      </c>
      <c r="H61">
        <f t="shared" si="13"/>
        <v>6377.28</v>
      </c>
      <c r="I61">
        <f t="shared" si="13"/>
        <v>6377.28</v>
      </c>
      <c r="J61">
        <f t="shared" si="13"/>
        <v>6377.28</v>
      </c>
      <c r="K61">
        <f t="shared" si="13"/>
        <v>6377.28</v>
      </c>
      <c r="L61">
        <f t="shared" si="13"/>
        <v>6377.28</v>
      </c>
      <c r="M61">
        <f t="shared" si="13"/>
        <v>6377.28</v>
      </c>
      <c r="N61">
        <f t="shared" si="13"/>
        <v>6377.28</v>
      </c>
      <c r="O61">
        <f t="shared" si="13"/>
        <v>6377.28</v>
      </c>
      <c r="P61">
        <f t="shared" si="13"/>
        <v>6377.28</v>
      </c>
      <c r="Q61">
        <f t="shared" si="13"/>
        <v>6377.28</v>
      </c>
      <c r="R61">
        <f t="shared" si="13"/>
        <v>6377.28</v>
      </c>
      <c r="S61">
        <f t="shared" si="13"/>
        <v>6377.28</v>
      </c>
      <c r="T61">
        <f t="shared" si="13"/>
        <v>6377.28</v>
      </c>
      <c r="U61">
        <f t="shared" si="13"/>
        <v>6377.28</v>
      </c>
      <c r="V61">
        <f t="shared" si="13"/>
        <v>6377.28</v>
      </c>
      <c r="W61">
        <f t="shared" si="13"/>
        <v>6377.28</v>
      </c>
      <c r="X61">
        <f t="shared" si="13"/>
        <v>6377.28</v>
      </c>
    </row>
    <row r="63" ht="12.75">
      <c r="A63" s="13" t="s">
        <v>19</v>
      </c>
    </row>
    <row r="64" spans="1:24" ht="12.75">
      <c r="A64" s="50" t="s">
        <v>70</v>
      </c>
      <c r="B64" s="46" t="s">
        <v>69</v>
      </c>
      <c r="C64" s="45">
        <f>E22*1.34*12*4</f>
        <v>96480.00000000001</v>
      </c>
      <c r="E64">
        <f>C64</f>
        <v>96480.00000000001</v>
      </c>
      <c r="F64">
        <f aca="true" t="shared" si="14" ref="F64:X64">E64</f>
        <v>96480.00000000001</v>
      </c>
      <c r="G64">
        <f t="shared" si="14"/>
        <v>96480.00000000001</v>
      </c>
      <c r="H64">
        <f t="shared" si="14"/>
        <v>96480.00000000001</v>
      </c>
      <c r="I64">
        <f t="shared" si="14"/>
        <v>96480.00000000001</v>
      </c>
      <c r="J64">
        <f t="shared" si="14"/>
        <v>96480.00000000001</v>
      </c>
      <c r="K64">
        <f t="shared" si="14"/>
        <v>96480.00000000001</v>
      </c>
      <c r="L64">
        <f t="shared" si="14"/>
        <v>96480.00000000001</v>
      </c>
      <c r="M64">
        <f t="shared" si="14"/>
        <v>96480.00000000001</v>
      </c>
      <c r="N64">
        <f t="shared" si="14"/>
        <v>96480.00000000001</v>
      </c>
      <c r="O64">
        <f t="shared" si="14"/>
        <v>96480.00000000001</v>
      </c>
      <c r="P64">
        <f t="shared" si="14"/>
        <v>96480.00000000001</v>
      </c>
      <c r="Q64">
        <f t="shared" si="14"/>
        <v>96480.00000000001</v>
      </c>
      <c r="R64">
        <f t="shared" si="14"/>
        <v>96480.00000000001</v>
      </c>
      <c r="S64">
        <f t="shared" si="14"/>
        <v>96480.00000000001</v>
      </c>
      <c r="T64">
        <f t="shared" si="14"/>
        <v>96480.00000000001</v>
      </c>
      <c r="U64">
        <f t="shared" si="14"/>
        <v>96480.00000000001</v>
      </c>
      <c r="V64">
        <f t="shared" si="14"/>
        <v>96480.00000000001</v>
      </c>
      <c r="W64">
        <f t="shared" si="14"/>
        <v>96480.00000000001</v>
      </c>
      <c r="X64">
        <f t="shared" si="14"/>
        <v>96480.00000000001</v>
      </c>
    </row>
    <row r="66" ht="12.75">
      <c r="A66" s="13" t="s">
        <v>17</v>
      </c>
    </row>
    <row r="67" ht="12.75">
      <c r="A67" s="6"/>
    </row>
    <row r="68" ht="12.75">
      <c r="A68" s="6"/>
    </row>
    <row r="69" ht="13.5" thickBot="1"/>
    <row r="70" spans="1:3" ht="15.75" thickBot="1">
      <c r="A70" s="20" t="s">
        <v>27</v>
      </c>
      <c r="B70" s="18" t="s">
        <v>7</v>
      </c>
      <c r="C70" s="16">
        <f>C55*1000</f>
        <v>871800</v>
      </c>
    </row>
    <row r="71" spans="1:3" ht="12.75">
      <c r="A71" s="7"/>
      <c r="B71" s="8"/>
      <c r="C71" s="3"/>
    </row>
    <row r="72" spans="1:3" ht="12.75">
      <c r="A72" s="7"/>
      <c r="B72" s="8"/>
      <c r="C72" s="3"/>
    </row>
    <row r="73" spans="1:3" ht="12.75">
      <c r="A73" s="7"/>
      <c r="B73" s="8"/>
      <c r="C73" s="3"/>
    </row>
    <row r="74" spans="1:3" ht="12.75">
      <c r="A74" s="7"/>
      <c r="B74" s="8"/>
      <c r="C74" s="3"/>
    </row>
    <row r="75" ht="13.5" thickBot="1"/>
    <row r="76" spans="1:3" ht="17.25" thickBot="1" thickTop="1">
      <c r="A76" s="38" t="s">
        <v>8</v>
      </c>
      <c r="B76" s="39" t="s">
        <v>9</v>
      </c>
      <c r="C76" s="63">
        <f>IF(C70&gt;0,C31*100/C70*C29/100/(1-POWER(1+C29/100,-C28)),"")</f>
        <v>34.512527490506</v>
      </c>
    </row>
    <row r="77" ht="13.5" thickTop="1"/>
  </sheetData>
  <sheetProtection/>
  <mergeCells count="20">
    <mergeCell ref="A20:C20"/>
    <mergeCell ref="A23:C23"/>
    <mergeCell ref="A18:C18"/>
    <mergeCell ref="A19:C19"/>
    <mergeCell ref="A9:C9"/>
    <mergeCell ref="A10:C10"/>
    <mergeCell ref="A11:C11"/>
    <mergeCell ref="A12:C12"/>
    <mergeCell ref="A14:C14"/>
    <mergeCell ref="A15:C15"/>
    <mergeCell ref="A2:E2"/>
    <mergeCell ref="A1:E1"/>
    <mergeCell ref="A21:C21"/>
    <mergeCell ref="A22:C22"/>
    <mergeCell ref="A13:C13"/>
    <mergeCell ref="A6:I6"/>
    <mergeCell ref="A7:C7"/>
    <mergeCell ref="A8:C8"/>
    <mergeCell ref="A16:C16"/>
    <mergeCell ref="A17:C17"/>
  </mergeCells>
  <printOptions gridLines="1"/>
  <pageMargins left="0.99" right="0.45" top="0.73" bottom="0.65" header="0.5" footer="0.5"/>
  <pageSetup fitToHeight="1" fitToWidth="1" horizontalDpi="200" verticalDpi="200" orientation="portrait" scale="61"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BB76"/>
  <sheetViews>
    <sheetView zoomScalePageLayoutView="0" workbookViewId="0" topLeftCell="A60">
      <selection activeCell="C76" sqref="C76"/>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 min="5" max="5" width="10.57421875" style="0" bestFit="1" customWidth="1"/>
    <col min="6" max="6" width="10.7109375" style="0" bestFit="1" customWidth="1"/>
    <col min="7" max="7" width="10.28125" style="0" customWidth="1"/>
    <col min="8" max="8" width="10.140625" style="0" customWidth="1"/>
    <col min="9" max="24" width="9.57421875" style="0" bestFit="1" customWidth="1"/>
  </cols>
  <sheetData>
    <row r="1" spans="1:5" ht="24" customHeight="1">
      <c r="A1" s="66" t="s">
        <v>29</v>
      </c>
      <c r="B1" s="67"/>
      <c r="C1" s="65"/>
      <c r="D1" s="65"/>
      <c r="E1" s="65"/>
    </row>
    <row r="2" spans="1:5" ht="24" customHeight="1">
      <c r="A2" s="64" t="s">
        <v>30</v>
      </c>
      <c r="B2" s="65"/>
      <c r="C2" s="65"/>
      <c r="D2" s="65"/>
      <c r="E2" s="65"/>
    </row>
    <row r="3" spans="1:5" ht="24" customHeight="1">
      <c r="A3" s="54" t="s">
        <v>75</v>
      </c>
      <c r="B3" s="55"/>
      <c r="C3" s="55"/>
      <c r="D3" s="55"/>
      <c r="E3" s="55"/>
    </row>
    <row r="4" spans="1:5" ht="12" customHeight="1">
      <c r="A4" s="5"/>
      <c r="B4" s="2"/>
      <c r="C4" s="2"/>
      <c r="D4" s="2"/>
      <c r="E4" s="2"/>
    </row>
    <row r="5" spans="1:5" ht="12" customHeight="1" thickBot="1">
      <c r="A5" s="25" t="s">
        <v>4</v>
      </c>
      <c r="B5" s="2"/>
      <c r="C5" s="2"/>
      <c r="D5" s="2"/>
      <c r="E5" s="2"/>
    </row>
    <row r="6" spans="1:9" ht="72.75" customHeight="1" thickBot="1">
      <c r="A6" s="72" t="s">
        <v>39</v>
      </c>
      <c r="B6" s="73"/>
      <c r="C6" s="73"/>
      <c r="D6" s="73"/>
      <c r="E6" s="73"/>
      <c r="F6" s="73"/>
      <c r="G6" s="73"/>
      <c r="H6" s="73"/>
      <c r="I6" s="74"/>
    </row>
    <row r="7" spans="1:9" ht="15" customHeight="1" thickBot="1">
      <c r="A7" s="75" t="s">
        <v>28</v>
      </c>
      <c r="B7" s="76"/>
      <c r="C7" s="77"/>
      <c r="D7" s="36" t="s">
        <v>1</v>
      </c>
      <c r="E7" s="33"/>
      <c r="F7" s="33"/>
      <c r="G7" s="33"/>
      <c r="H7" s="33"/>
      <c r="I7" s="33"/>
    </row>
    <row r="8" spans="1:11" ht="15" customHeight="1" thickTop="1">
      <c r="A8" s="78" t="s">
        <v>31</v>
      </c>
      <c r="B8" s="79"/>
      <c r="C8" s="80"/>
      <c r="D8" s="34" t="s">
        <v>32</v>
      </c>
      <c r="E8" s="43">
        <v>50</v>
      </c>
      <c r="F8" s="33"/>
      <c r="G8" s="43"/>
      <c r="H8" s="33"/>
      <c r="I8" s="33"/>
      <c r="J8" s="33"/>
      <c r="K8" s="33"/>
    </row>
    <row r="9" spans="1:11" ht="15" customHeight="1">
      <c r="A9" s="68" t="s">
        <v>33</v>
      </c>
      <c r="B9" s="69"/>
      <c r="C9" s="70"/>
      <c r="D9" s="34" t="s">
        <v>34</v>
      </c>
      <c r="E9" s="43">
        <v>120</v>
      </c>
      <c r="F9" s="33"/>
      <c r="G9" s="43"/>
      <c r="H9" s="33"/>
      <c r="I9" s="33"/>
      <c r="J9" s="33"/>
      <c r="K9" s="33"/>
    </row>
    <row r="10" spans="1:11" ht="15" customHeight="1">
      <c r="A10" s="81" t="s">
        <v>35</v>
      </c>
      <c r="B10" s="82"/>
      <c r="C10" s="83"/>
      <c r="D10" s="34" t="s">
        <v>36</v>
      </c>
      <c r="E10" s="43">
        <v>130</v>
      </c>
      <c r="F10" s="33"/>
      <c r="G10" s="43"/>
      <c r="H10" s="33"/>
      <c r="I10" s="33"/>
      <c r="J10" s="33"/>
      <c r="K10" s="33"/>
    </row>
    <row r="11" spans="1:11" ht="15" customHeight="1">
      <c r="A11" s="82" t="s">
        <v>37</v>
      </c>
      <c r="B11" s="82"/>
      <c r="C11" s="83"/>
      <c r="D11" s="34" t="s">
        <v>38</v>
      </c>
      <c r="E11" s="43">
        <v>3</v>
      </c>
      <c r="F11" s="33"/>
      <c r="G11" s="43"/>
      <c r="H11" s="33"/>
      <c r="I11" s="33"/>
      <c r="J11" s="33"/>
      <c r="K11" s="33"/>
    </row>
    <row r="12" spans="1:9" ht="15" customHeight="1">
      <c r="A12" s="68" t="s">
        <v>71</v>
      </c>
      <c r="B12" s="69"/>
      <c r="C12" s="70"/>
      <c r="D12" s="34" t="s">
        <v>40</v>
      </c>
      <c r="E12" s="43">
        <v>230</v>
      </c>
      <c r="F12" s="33"/>
      <c r="G12" s="33"/>
      <c r="H12" s="33"/>
      <c r="I12" s="33"/>
    </row>
    <row r="13" spans="1:9" ht="15" customHeight="1">
      <c r="A13" s="68" t="s">
        <v>72</v>
      </c>
      <c r="B13" s="71"/>
      <c r="C13" s="70"/>
      <c r="D13" s="34" t="s">
        <v>55</v>
      </c>
      <c r="E13" s="43">
        <v>65</v>
      </c>
      <c r="F13" s="33"/>
      <c r="G13" s="33"/>
      <c r="H13" s="33"/>
      <c r="I13" s="33"/>
    </row>
    <row r="14" spans="1:9" ht="15" customHeight="1">
      <c r="A14" s="68" t="s">
        <v>41</v>
      </c>
      <c r="B14" s="69"/>
      <c r="C14" s="70"/>
      <c r="D14" s="34" t="s">
        <v>40</v>
      </c>
      <c r="E14" s="43">
        <v>1200</v>
      </c>
      <c r="F14" s="33"/>
      <c r="G14" s="33"/>
      <c r="H14" s="33"/>
      <c r="I14" s="33"/>
    </row>
    <row r="15" spans="1:9" ht="15" customHeight="1">
      <c r="A15" s="68" t="s">
        <v>42</v>
      </c>
      <c r="B15" s="69"/>
      <c r="C15" s="70"/>
      <c r="D15" s="34" t="s">
        <v>40</v>
      </c>
      <c r="E15" s="43">
        <v>10</v>
      </c>
      <c r="F15" s="33"/>
      <c r="G15" s="33"/>
      <c r="H15" s="33"/>
      <c r="I15" s="33"/>
    </row>
    <row r="16" spans="1:9" ht="15" customHeight="1">
      <c r="A16" s="68" t="s">
        <v>43</v>
      </c>
      <c r="B16" s="69"/>
      <c r="C16" s="70"/>
      <c r="D16" s="34" t="s">
        <v>47</v>
      </c>
      <c r="E16" s="43">
        <f>0.25</f>
        <v>0.25</v>
      </c>
      <c r="F16" s="33"/>
      <c r="G16" s="33"/>
      <c r="H16" s="33"/>
      <c r="I16" s="33"/>
    </row>
    <row r="17" spans="1:9" ht="15" customHeight="1">
      <c r="A17" s="68" t="s">
        <v>44</v>
      </c>
      <c r="B17" s="71"/>
      <c r="C17" s="70"/>
      <c r="D17" s="34" t="s">
        <v>48</v>
      </c>
      <c r="E17" s="43">
        <v>2126</v>
      </c>
      <c r="F17" s="33"/>
      <c r="G17" s="33"/>
      <c r="H17" s="33"/>
      <c r="I17" s="33"/>
    </row>
    <row r="18" spans="1:9" ht="15" customHeight="1">
      <c r="A18" s="68" t="s">
        <v>45</v>
      </c>
      <c r="B18" s="69"/>
      <c r="C18" s="70"/>
      <c r="D18" s="34" t="s">
        <v>49</v>
      </c>
      <c r="E18" s="44">
        <v>10</v>
      </c>
      <c r="F18" s="33"/>
      <c r="G18" s="33"/>
      <c r="H18" s="33"/>
      <c r="I18" s="33"/>
    </row>
    <row r="19" spans="1:9" ht="15" customHeight="1">
      <c r="A19" s="68" t="s">
        <v>46</v>
      </c>
      <c r="B19" s="71"/>
      <c r="C19" s="70"/>
      <c r="D19" s="34" t="s">
        <v>3</v>
      </c>
      <c r="E19" s="43">
        <v>80</v>
      </c>
      <c r="F19" s="33"/>
      <c r="G19" s="33"/>
      <c r="H19" s="33"/>
      <c r="I19" s="33"/>
    </row>
    <row r="20" spans="1:9" ht="15" customHeight="1">
      <c r="A20" s="68" t="s">
        <v>50</v>
      </c>
      <c r="B20" s="69"/>
      <c r="C20" s="70"/>
      <c r="D20" s="34" t="s">
        <v>53</v>
      </c>
      <c r="E20" s="43">
        <v>2</v>
      </c>
      <c r="F20" s="33"/>
      <c r="G20" s="33"/>
      <c r="H20" s="33"/>
      <c r="I20" s="33"/>
    </row>
    <row r="21" spans="1:9" ht="15" customHeight="1">
      <c r="A21" s="68" t="s">
        <v>51</v>
      </c>
      <c r="B21" s="69"/>
      <c r="C21" s="70"/>
      <c r="D21" s="34" t="s">
        <v>9</v>
      </c>
      <c r="E21" s="43">
        <v>36.4</v>
      </c>
      <c r="F21" s="33"/>
      <c r="G21" s="33"/>
      <c r="H21" s="33"/>
      <c r="I21" s="33"/>
    </row>
    <row r="22" spans="1:9" ht="15" customHeight="1">
      <c r="A22" s="68" t="s">
        <v>52</v>
      </c>
      <c r="B22" s="69"/>
      <c r="C22" s="70"/>
      <c r="D22" s="34" t="s">
        <v>54</v>
      </c>
      <c r="E22" s="43">
        <v>1500</v>
      </c>
      <c r="F22" s="33"/>
      <c r="G22" s="33"/>
      <c r="H22" s="33"/>
      <c r="I22" s="33"/>
    </row>
    <row r="23" spans="1:9" ht="15" customHeight="1" thickBot="1">
      <c r="A23" s="84"/>
      <c r="B23" s="85"/>
      <c r="C23" s="86"/>
      <c r="D23" s="33"/>
      <c r="E23" s="33"/>
      <c r="F23" s="33"/>
      <c r="G23" s="33"/>
      <c r="H23" s="33"/>
      <c r="I23" s="33"/>
    </row>
    <row r="24" spans="1:9" ht="15" customHeight="1">
      <c r="A24" s="32"/>
      <c r="B24" s="37"/>
      <c r="C24" s="37"/>
      <c r="D24" s="33"/>
      <c r="E24" s="33"/>
      <c r="F24" s="33"/>
      <c r="G24" s="33"/>
      <c r="H24" s="33"/>
      <c r="I24" s="33"/>
    </row>
    <row r="25" spans="1:9" ht="15" customHeight="1">
      <c r="A25" s="32"/>
      <c r="B25" s="33"/>
      <c r="C25" s="33"/>
      <c r="D25" s="33"/>
      <c r="E25" s="33"/>
      <c r="F25" s="33"/>
      <c r="G25" s="33"/>
      <c r="H25" s="33"/>
      <c r="I25" s="33"/>
    </row>
    <row r="26" spans="1:5" ht="15" customHeight="1" thickBot="1">
      <c r="A26" s="1"/>
      <c r="B26" s="2"/>
      <c r="C26" s="2"/>
      <c r="D26" s="2"/>
      <c r="E26" s="2"/>
    </row>
    <row r="27" spans="1:3" ht="14.25" thickBot="1" thickTop="1">
      <c r="A27" s="35" t="s">
        <v>0</v>
      </c>
      <c r="B27" s="4" t="s">
        <v>1</v>
      </c>
      <c r="C27" s="3"/>
    </row>
    <row r="28" spans="1:3" ht="25.5" customHeight="1" thickTop="1">
      <c r="A28" s="19" t="s">
        <v>23</v>
      </c>
      <c r="B28" s="40" t="s">
        <v>6</v>
      </c>
      <c r="C28" s="41">
        <v>20</v>
      </c>
    </row>
    <row r="29" spans="1:54" ht="15" thickBot="1">
      <c r="A29" s="17" t="s">
        <v>2</v>
      </c>
      <c r="B29" s="40" t="s">
        <v>3</v>
      </c>
      <c r="C29" s="42">
        <v>8</v>
      </c>
      <c r="D29" s="15">
        <v>1</v>
      </c>
      <c r="E29" s="15">
        <f>1/(1+C29/100)</f>
        <v>0.9259259259259258</v>
      </c>
      <c r="F29" s="15">
        <f aca="true" t="shared" si="0" ref="F29:AK29">E29/(1+$C29/100)</f>
        <v>0.8573388203017831</v>
      </c>
      <c r="G29" s="15">
        <f t="shared" si="0"/>
        <v>0.7938322410201695</v>
      </c>
      <c r="H29" s="15">
        <f t="shared" si="0"/>
        <v>0.7350298527964532</v>
      </c>
      <c r="I29" s="15">
        <f t="shared" si="0"/>
        <v>0.6805831970337529</v>
      </c>
      <c r="J29" s="15">
        <f t="shared" si="0"/>
        <v>0.6301696268831045</v>
      </c>
      <c r="K29" s="15">
        <f t="shared" si="0"/>
        <v>0.5834903952621338</v>
      </c>
      <c r="L29" s="15">
        <f t="shared" si="0"/>
        <v>0.5402688845019756</v>
      </c>
      <c r="M29" s="15">
        <f t="shared" si="0"/>
        <v>0.5002489671314588</v>
      </c>
      <c r="N29" s="15">
        <f t="shared" si="0"/>
        <v>0.4631934880846841</v>
      </c>
      <c r="O29" s="15">
        <f t="shared" si="0"/>
        <v>0.4288828593376704</v>
      </c>
      <c r="P29" s="15">
        <f t="shared" si="0"/>
        <v>0.3971137586459911</v>
      </c>
      <c r="Q29" s="15">
        <f t="shared" si="0"/>
        <v>0.36769792467221396</v>
      </c>
      <c r="R29" s="15">
        <f t="shared" si="0"/>
        <v>0.3404610413631611</v>
      </c>
      <c r="S29" s="15">
        <f t="shared" si="0"/>
        <v>0.3152417049658899</v>
      </c>
      <c r="T29" s="15">
        <f t="shared" si="0"/>
        <v>0.2918904675610091</v>
      </c>
      <c r="U29" s="15">
        <f t="shared" si="0"/>
        <v>0.27026895144537877</v>
      </c>
      <c r="V29" s="15">
        <f t="shared" si="0"/>
        <v>0.2502490291160914</v>
      </c>
      <c r="W29" s="15">
        <f t="shared" si="0"/>
        <v>0.23171206399638095</v>
      </c>
      <c r="X29" s="15">
        <f t="shared" si="0"/>
        <v>0.21454820740405642</v>
      </c>
      <c r="Y29" s="15">
        <f t="shared" si="0"/>
        <v>0.19865574759634852</v>
      </c>
      <c r="Z29" s="15">
        <f t="shared" si="0"/>
        <v>0.18394050703365603</v>
      </c>
      <c r="AA29" s="15">
        <f t="shared" si="0"/>
        <v>0.17031528429042223</v>
      </c>
      <c r="AB29" s="15">
        <f t="shared" si="0"/>
        <v>0.15769933730594649</v>
      </c>
      <c r="AC29" s="15">
        <f t="shared" si="0"/>
        <v>0.14601790491291342</v>
      </c>
      <c r="AD29" s="15">
        <f t="shared" si="0"/>
        <v>0.13520176380825316</v>
      </c>
      <c r="AE29" s="15">
        <f t="shared" si="0"/>
        <v>0.12518681834097514</v>
      </c>
      <c r="AF29" s="15">
        <f t="shared" si="0"/>
        <v>0.11591372068608809</v>
      </c>
      <c r="AG29" s="15">
        <f t="shared" si="0"/>
        <v>0.10732751915378526</v>
      </c>
      <c r="AH29" s="15">
        <f t="shared" si="0"/>
        <v>0.09937733254980116</v>
      </c>
      <c r="AI29" s="15">
        <f t="shared" si="0"/>
        <v>0.09201604865722329</v>
      </c>
      <c r="AJ29" s="15">
        <f t="shared" si="0"/>
        <v>0.08520004505298452</v>
      </c>
      <c r="AK29" s="15">
        <f t="shared" si="0"/>
        <v>0.0788889306046153</v>
      </c>
      <c r="AL29" s="15">
        <f aca="true" t="shared" si="1" ref="AL29:BB29">AK29/(1+$C29/100)</f>
        <v>0.07304530611538453</v>
      </c>
      <c r="AM29" s="15">
        <f t="shared" si="1"/>
        <v>0.06763454269943012</v>
      </c>
      <c r="AN29" s="15">
        <f t="shared" si="1"/>
        <v>0.0626245765735464</v>
      </c>
      <c r="AO29" s="15">
        <f t="shared" si="1"/>
        <v>0.057985719049580005</v>
      </c>
      <c r="AP29" s="15">
        <f t="shared" si="1"/>
        <v>0.05369048060146296</v>
      </c>
      <c r="AQ29" s="15">
        <f t="shared" si="1"/>
        <v>0.04971340796431755</v>
      </c>
      <c r="AR29" s="15">
        <f t="shared" si="1"/>
        <v>0.04603093330029402</v>
      </c>
      <c r="AS29" s="15">
        <f t="shared" si="1"/>
        <v>0.042621234537309274</v>
      </c>
      <c r="AT29" s="15">
        <f t="shared" si="1"/>
        <v>0.03946410605306414</v>
      </c>
      <c r="AU29" s="15">
        <f t="shared" si="1"/>
        <v>0.03654083893802235</v>
      </c>
      <c r="AV29" s="15">
        <f t="shared" si="1"/>
        <v>0.033834110127798474</v>
      </c>
      <c r="AW29" s="15">
        <f t="shared" si="1"/>
        <v>0.03132787974796155</v>
      </c>
      <c r="AX29" s="15">
        <f t="shared" si="1"/>
        <v>0.02900729606292736</v>
      </c>
      <c r="AY29" s="15">
        <f t="shared" si="1"/>
        <v>0.02685860746567348</v>
      </c>
      <c r="AZ29" s="15">
        <f t="shared" si="1"/>
        <v>0.0248690809867347</v>
      </c>
      <c r="BA29" s="15">
        <f t="shared" si="1"/>
        <v>0.023026926839569164</v>
      </c>
      <c r="BB29" s="15">
        <f t="shared" si="1"/>
        <v>0.02132122855515663</v>
      </c>
    </row>
    <row r="30" ht="15" thickBot="1">
      <c r="D30" s="29" t="s">
        <v>5</v>
      </c>
    </row>
    <row r="31" spans="1:54" ht="15.75" thickBot="1">
      <c r="A31" s="20" t="s">
        <v>22</v>
      </c>
      <c r="B31" s="18" t="s">
        <v>18</v>
      </c>
      <c r="C31" s="16">
        <f>C32+C52</f>
        <v>2436644.798636244</v>
      </c>
      <c r="D31" s="29">
        <v>0</v>
      </c>
      <c r="E31" s="29">
        <f aca="true" t="shared" si="2" ref="E31:AJ31">IF(D31&lt;$C28,D31+1,"")</f>
        <v>1</v>
      </c>
      <c r="F31" s="29">
        <f t="shared" si="2"/>
        <v>2</v>
      </c>
      <c r="G31" s="29">
        <f t="shared" si="2"/>
        <v>3</v>
      </c>
      <c r="H31" s="29">
        <f t="shared" si="2"/>
        <v>4</v>
      </c>
      <c r="I31" s="29">
        <f t="shared" si="2"/>
        <v>5</v>
      </c>
      <c r="J31" s="29">
        <f t="shared" si="2"/>
        <v>6</v>
      </c>
      <c r="K31" s="29">
        <f t="shared" si="2"/>
        <v>7</v>
      </c>
      <c r="L31" s="29">
        <f t="shared" si="2"/>
        <v>8</v>
      </c>
      <c r="M31" s="29">
        <f t="shared" si="2"/>
        <v>9</v>
      </c>
      <c r="N31" s="29">
        <f t="shared" si="2"/>
        <v>10</v>
      </c>
      <c r="O31" s="29">
        <f t="shared" si="2"/>
        <v>11</v>
      </c>
      <c r="P31" s="29">
        <f t="shared" si="2"/>
        <v>12</v>
      </c>
      <c r="Q31" s="29">
        <f t="shared" si="2"/>
        <v>13</v>
      </c>
      <c r="R31" s="29">
        <f t="shared" si="2"/>
        <v>14</v>
      </c>
      <c r="S31" s="29">
        <f t="shared" si="2"/>
        <v>15</v>
      </c>
      <c r="T31" s="29">
        <f t="shared" si="2"/>
        <v>16</v>
      </c>
      <c r="U31" s="29">
        <f t="shared" si="2"/>
        <v>17</v>
      </c>
      <c r="V31" s="29">
        <f t="shared" si="2"/>
        <v>18</v>
      </c>
      <c r="W31" s="29">
        <f t="shared" si="2"/>
        <v>19</v>
      </c>
      <c r="X31" s="29">
        <f t="shared" si="2"/>
        <v>20</v>
      </c>
      <c r="Y31" s="29">
        <f t="shared" si="2"/>
      </c>
      <c r="Z31" s="29">
        <f t="shared" si="2"/>
      </c>
      <c r="AA31" s="29">
        <f t="shared" si="2"/>
      </c>
      <c r="AB31" s="29">
        <f t="shared" si="2"/>
      </c>
      <c r="AC31" s="29">
        <f t="shared" si="2"/>
      </c>
      <c r="AD31" s="29">
        <f t="shared" si="2"/>
      </c>
      <c r="AE31" s="29">
        <f t="shared" si="2"/>
      </c>
      <c r="AF31" s="29">
        <f t="shared" si="2"/>
      </c>
      <c r="AG31" s="29">
        <f t="shared" si="2"/>
      </c>
      <c r="AH31" s="29">
        <f t="shared" si="2"/>
      </c>
      <c r="AI31" s="29">
        <f t="shared" si="2"/>
      </c>
      <c r="AJ31" s="29">
        <f t="shared" si="2"/>
      </c>
      <c r="AK31" s="29">
        <f aca="true" t="shared" si="3" ref="AK31:BB31">IF(AJ31&lt;$C28,AJ31+1,"")</f>
      </c>
      <c r="AL31" s="29">
        <f t="shared" si="3"/>
      </c>
      <c r="AM31" s="29">
        <f t="shared" si="3"/>
      </c>
      <c r="AN31" s="29">
        <f t="shared" si="3"/>
      </c>
      <c r="AO31" s="29">
        <f t="shared" si="3"/>
      </c>
      <c r="AP31" s="29">
        <f t="shared" si="3"/>
      </c>
      <c r="AQ31" s="29">
        <f t="shared" si="3"/>
      </c>
      <c r="AR31" s="29">
        <f t="shared" si="3"/>
      </c>
      <c r="AS31" s="29">
        <f t="shared" si="3"/>
      </c>
      <c r="AT31" s="29">
        <f t="shared" si="3"/>
      </c>
      <c r="AU31" s="29">
        <f t="shared" si="3"/>
      </c>
      <c r="AV31" s="29">
        <f t="shared" si="3"/>
      </c>
      <c r="AW31" s="29">
        <f t="shared" si="3"/>
      </c>
      <c r="AX31" s="29">
        <f t="shared" si="3"/>
      </c>
      <c r="AY31" s="29">
        <f t="shared" si="3"/>
      </c>
      <c r="AZ31" s="29">
        <f t="shared" si="3"/>
      </c>
      <c r="BA31" s="29">
        <f t="shared" si="3"/>
      </c>
      <c r="BB31" s="29">
        <f t="shared" si="3"/>
      </c>
    </row>
    <row r="32" spans="1:54" ht="19.5" thickBot="1">
      <c r="A32" s="26" t="s">
        <v>10</v>
      </c>
      <c r="B32" s="21" t="s">
        <v>18</v>
      </c>
      <c r="C32" s="16">
        <f>SUM(D32:BB32)</f>
        <v>344961.00060168625</v>
      </c>
      <c r="D32" s="27">
        <f aca="true" t="shared" si="4" ref="D32:AI32">D33*D29</f>
        <v>338939.48525658535</v>
      </c>
      <c r="E32" s="27">
        <f t="shared" si="4"/>
        <v>0</v>
      </c>
      <c r="F32" s="27">
        <f t="shared" si="4"/>
        <v>0</v>
      </c>
      <c r="G32" s="27">
        <f t="shared" si="4"/>
        <v>0</v>
      </c>
      <c r="H32" s="27">
        <f t="shared" si="4"/>
        <v>0</v>
      </c>
      <c r="I32" s="27">
        <f t="shared" si="4"/>
        <v>0</v>
      </c>
      <c r="J32" s="27">
        <f t="shared" si="4"/>
        <v>0</v>
      </c>
      <c r="K32" s="27">
        <f t="shared" si="4"/>
        <v>0</v>
      </c>
      <c r="L32" s="27">
        <f t="shared" si="4"/>
        <v>0</v>
      </c>
      <c r="M32" s="27">
        <f t="shared" si="4"/>
        <v>0</v>
      </c>
      <c r="N32" s="27">
        <f t="shared" si="4"/>
        <v>6021.515345100893</v>
      </c>
      <c r="O32" s="27">
        <f t="shared" si="4"/>
        <v>0</v>
      </c>
      <c r="P32" s="27">
        <f t="shared" si="4"/>
        <v>0</v>
      </c>
      <c r="Q32" s="27">
        <f t="shared" si="4"/>
        <v>0</v>
      </c>
      <c r="R32" s="27">
        <f t="shared" si="4"/>
        <v>0</v>
      </c>
      <c r="S32" s="27">
        <f t="shared" si="4"/>
        <v>0</v>
      </c>
      <c r="T32" s="27">
        <f t="shared" si="4"/>
        <v>0</v>
      </c>
      <c r="U32" s="27">
        <f t="shared" si="4"/>
        <v>0</v>
      </c>
      <c r="V32" s="27">
        <f t="shared" si="4"/>
        <v>0</v>
      </c>
      <c r="W32" s="27">
        <f t="shared" si="4"/>
        <v>0</v>
      </c>
      <c r="X32" s="27">
        <f t="shared" si="4"/>
        <v>0</v>
      </c>
      <c r="Y32" s="27">
        <f t="shared" si="4"/>
        <v>0</v>
      </c>
      <c r="Z32" s="27">
        <f t="shared" si="4"/>
        <v>0</v>
      </c>
      <c r="AA32" s="27">
        <f t="shared" si="4"/>
        <v>0</v>
      </c>
      <c r="AB32" s="27">
        <f t="shared" si="4"/>
        <v>0</v>
      </c>
      <c r="AC32" s="27">
        <f t="shared" si="4"/>
        <v>0</v>
      </c>
      <c r="AD32" s="27">
        <f t="shared" si="4"/>
        <v>0</v>
      </c>
      <c r="AE32" s="27">
        <f t="shared" si="4"/>
        <v>0</v>
      </c>
      <c r="AF32" s="27">
        <f t="shared" si="4"/>
        <v>0</v>
      </c>
      <c r="AG32" s="27">
        <f t="shared" si="4"/>
        <v>0</v>
      </c>
      <c r="AH32" s="27">
        <f t="shared" si="4"/>
        <v>0</v>
      </c>
      <c r="AI32" s="27">
        <f t="shared" si="4"/>
        <v>0</v>
      </c>
      <c r="AJ32" s="27">
        <f aca="true" t="shared" si="5" ref="AJ32:BB32">AJ33*AJ29</f>
        <v>0</v>
      </c>
      <c r="AK32" s="27">
        <f t="shared" si="5"/>
        <v>0</v>
      </c>
      <c r="AL32" s="27">
        <f t="shared" si="5"/>
        <v>0</v>
      </c>
      <c r="AM32" s="27">
        <f t="shared" si="5"/>
        <v>0</v>
      </c>
      <c r="AN32" s="27">
        <f t="shared" si="5"/>
        <v>0</v>
      </c>
      <c r="AO32" s="27">
        <f t="shared" si="5"/>
        <v>0</v>
      </c>
      <c r="AP32" s="27">
        <f t="shared" si="5"/>
        <v>0</v>
      </c>
      <c r="AQ32" s="27">
        <f t="shared" si="5"/>
        <v>0</v>
      </c>
      <c r="AR32" s="27">
        <f t="shared" si="5"/>
        <v>0</v>
      </c>
      <c r="AS32" s="27">
        <f t="shared" si="5"/>
        <v>0</v>
      </c>
      <c r="AT32" s="27">
        <f t="shared" si="5"/>
        <v>0</v>
      </c>
      <c r="AU32" s="27">
        <f t="shared" si="5"/>
        <v>0</v>
      </c>
      <c r="AV32" s="27">
        <f t="shared" si="5"/>
        <v>0</v>
      </c>
      <c r="AW32" s="27">
        <f t="shared" si="5"/>
        <v>0</v>
      </c>
      <c r="AX32" s="27">
        <f t="shared" si="5"/>
        <v>0</v>
      </c>
      <c r="AY32" s="27">
        <f t="shared" si="5"/>
        <v>0</v>
      </c>
      <c r="AZ32" s="27">
        <f t="shared" si="5"/>
        <v>0</v>
      </c>
      <c r="BA32" s="27">
        <f t="shared" si="5"/>
        <v>0</v>
      </c>
      <c r="BB32" s="27">
        <f t="shared" si="5"/>
        <v>0</v>
      </c>
    </row>
    <row r="33" spans="1:54" ht="14.25" customHeight="1">
      <c r="A33" s="30" t="s">
        <v>25</v>
      </c>
      <c r="B33" s="28" t="s">
        <v>18</v>
      </c>
      <c r="C33" s="12">
        <f>C35+C36+C40+C42</f>
        <v>1995</v>
      </c>
      <c r="D33" s="49">
        <f>D35+D36+D41+D43</f>
        <v>338939.48525658535</v>
      </c>
      <c r="E33" s="49">
        <f aca="true" t="shared" si="6" ref="E33:X33">E35+E36+E41+E43</f>
        <v>0</v>
      </c>
      <c r="F33" s="49">
        <f t="shared" si="6"/>
        <v>0</v>
      </c>
      <c r="G33" s="49">
        <f t="shared" si="6"/>
        <v>0</v>
      </c>
      <c r="H33" s="49">
        <f t="shared" si="6"/>
        <v>0</v>
      </c>
      <c r="I33" s="49">
        <f t="shared" si="6"/>
        <v>0</v>
      </c>
      <c r="J33" s="49">
        <f t="shared" si="6"/>
        <v>0</v>
      </c>
      <c r="K33" s="49">
        <f t="shared" si="6"/>
        <v>0</v>
      </c>
      <c r="L33" s="49">
        <f t="shared" si="6"/>
        <v>0</v>
      </c>
      <c r="M33" s="49">
        <f t="shared" si="6"/>
        <v>0</v>
      </c>
      <c r="N33" s="49">
        <f t="shared" si="6"/>
        <v>13000</v>
      </c>
      <c r="O33" s="49">
        <f t="shared" si="6"/>
        <v>0</v>
      </c>
      <c r="P33" s="49">
        <f t="shared" si="6"/>
        <v>0</v>
      </c>
      <c r="Q33" s="49">
        <f t="shared" si="6"/>
        <v>0</v>
      </c>
      <c r="R33" s="49">
        <f t="shared" si="6"/>
        <v>0</v>
      </c>
      <c r="S33" s="49">
        <f t="shared" si="6"/>
        <v>0</v>
      </c>
      <c r="T33" s="49">
        <f t="shared" si="6"/>
        <v>0</v>
      </c>
      <c r="U33" s="49">
        <f t="shared" si="6"/>
        <v>0</v>
      </c>
      <c r="V33" s="49">
        <f t="shared" si="6"/>
        <v>0</v>
      </c>
      <c r="W33" s="49">
        <f t="shared" si="6"/>
        <v>0</v>
      </c>
      <c r="X33" s="49">
        <f t="shared" si="6"/>
        <v>0</v>
      </c>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row>
    <row r="34" spans="1:3" ht="12.75">
      <c r="A34" s="13" t="s">
        <v>11</v>
      </c>
      <c r="C34" s="9"/>
    </row>
    <row r="35" spans="1:4" ht="12.75">
      <c r="A35" s="45" t="s">
        <v>59</v>
      </c>
      <c r="B35" s="46" t="s">
        <v>55</v>
      </c>
      <c r="C35" s="47">
        <f>E12</f>
        <v>230</v>
      </c>
      <c r="D35" s="56">
        <f>C35*1000*0.2</f>
        <v>46000</v>
      </c>
    </row>
    <row r="36" spans="1:14" ht="12.75">
      <c r="A36" s="45" t="s">
        <v>58</v>
      </c>
      <c r="B36" s="46" t="s">
        <v>55</v>
      </c>
      <c r="C36" s="47">
        <f>E13</f>
        <v>65</v>
      </c>
      <c r="D36" s="56">
        <f>C36*1000*0.2</f>
        <v>13000</v>
      </c>
      <c r="N36">
        <f>D36</f>
        <v>13000</v>
      </c>
    </row>
    <row r="37" ht="12.75">
      <c r="C37" s="9"/>
    </row>
    <row r="38" ht="12.75">
      <c r="A38" s="13" t="s">
        <v>12</v>
      </c>
    </row>
    <row r="39" spans="1:3" ht="12.75">
      <c r="A39" t="s">
        <v>20</v>
      </c>
      <c r="B39" s="8" t="s">
        <v>6</v>
      </c>
      <c r="C39">
        <v>40</v>
      </c>
    </row>
    <row r="40" spans="1:3" ht="12.75">
      <c r="A40" s="45" t="s">
        <v>41</v>
      </c>
      <c r="B40" s="46" t="s">
        <v>55</v>
      </c>
      <c r="C40" s="45">
        <f>E14</f>
        <v>1200</v>
      </c>
    </row>
    <row r="41" spans="1:4" ht="12.75">
      <c r="A41" s="45" t="s">
        <v>56</v>
      </c>
      <c r="B41" s="46" t="s">
        <v>55</v>
      </c>
      <c r="C41" s="48">
        <f>C40*C46</f>
        <v>988.0217126703011</v>
      </c>
      <c r="D41" s="57">
        <f>C41*1000*0.2</f>
        <v>197604.34253406024</v>
      </c>
    </row>
    <row r="42" spans="1:3" ht="12.75">
      <c r="A42" s="45" t="s">
        <v>57</v>
      </c>
      <c r="B42" s="46" t="s">
        <v>55</v>
      </c>
      <c r="C42" s="45">
        <f>E15*E8</f>
        <v>500</v>
      </c>
    </row>
    <row r="43" spans="1:4" ht="12.75">
      <c r="A43" s="45" t="s">
        <v>56</v>
      </c>
      <c r="B43" s="46" t="s">
        <v>55</v>
      </c>
      <c r="C43" s="48">
        <f>C42*C46</f>
        <v>411.67571361262543</v>
      </c>
      <c r="D43" s="57">
        <f>C43*1000*0.2</f>
        <v>82335.1427225251</v>
      </c>
    </row>
    <row r="45" spans="1:3" ht="12.75">
      <c r="A45" s="11" t="s">
        <v>21</v>
      </c>
      <c r="B45" s="8" t="s">
        <v>18</v>
      </c>
      <c r="C45" s="24"/>
    </row>
    <row r="46" spans="1:3" ht="14.25" customHeight="1">
      <c r="A46" s="23" t="s">
        <v>24</v>
      </c>
      <c r="B46" s="22"/>
      <c r="C46" s="17">
        <f>(1-POWER(1+C29/100,-C28))/(1-POWER(1+C29/100,-C39))</f>
        <v>0.8233514272252509</v>
      </c>
    </row>
    <row r="47" spans="1:3" ht="12.75">
      <c r="A47" s="10"/>
      <c r="B47" s="8"/>
      <c r="C47" s="12"/>
    </row>
    <row r="48" spans="1:3" ht="12.75">
      <c r="A48" s="10"/>
      <c r="C48" s="12"/>
    </row>
    <row r="49" spans="1:3" ht="12.75">
      <c r="A49" s="14" t="s">
        <v>13</v>
      </c>
      <c r="C49" s="12"/>
    </row>
    <row r="50" spans="1:3" ht="12.75">
      <c r="A50" s="10"/>
      <c r="C50" s="12"/>
    </row>
    <row r="51" spans="4:54" ht="15" thickBot="1">
      <c r="D51" s="29" t="s">
        <v>5</v>
      </c>
      <c r="E51" s="29">
        <f aca="true" t="shared" si="7" ref="E51:AJ51">E31</f>
        <v>1</v>
      </c>
      <c r="F51" s="29">
        <f t="shared" si="7"/>
        <v>2</v>
      </c>
      <c r="G51" s="29">
        <f t="shared" si="7"/>
        <v>3</v>
      </c>
      <c r="H51" s="29">
        <f t="shared" si="7"/>
        <v>4</v>
      </c>
      <c r="I51" s="29">
        <f t="shared" si="7"/>
        <v>5</v>
      </c>
      <c r="J51" s="29">
        <f t="shared" si="7"/>
        <v>6</v>
      </c>
      <c r="K51" s="29">
        <f t="shared" si="7"/>
        <v>7</v>
      </c>
      <c r="L51" s="29">
        <f t="shared" si="7"/>
        <v>8</v>
      </c>
      <c r="M51" s="29">
        <f t="shared" si="7"/>
        <v>9</v>
      </c>
      <c r="N51" s="29">
        <f t="shared" si="7"/>
        <v>10</v>
      </c>
      <c r="O51" s="29">
        <f t="shared" si="7"/>
        <v>11</v>
      </c>
      <c r="P51" s="29">
        <f t="shared" si="7"/>
        <v>12</v>
      </c>
      <c r="Q51" s="29">
        <f t="shared" si="7"/>
        <v>13</v>
      </c>
      <c r="R51" s="29">
        <f t="shared" si="7"/>
        <v>14</v>
      </c>
      <c r="S51" s="29">
        <f t="shared" si="7"/>
        <v>15</v>
      </c>
      <c r="T51" s="29">
        <f t="shared" si="7"/>
        <v>16</v>
      </c>
      <c r="U51" s="29">
        <f t="shared" si="7"/>
        <v>17</v>
      </c>
      <c r="V51" s="29">
        <f t="shared" si="7"/>
        <v>18</v>
      </c>
      <c r="W51" s="29">
        <f t="shared" si="7"/>
        <v>19</v>
      </c>
      <c r="X51" s="29">
        <f t="shared" si="7"/>
        <v>20</v>
      </c>
      <c r="Y51" s="29">
        <f t="shared" si="7"/>
      </c>
      <c r="Z51" s="29">
        <f t="shared" si="7"/>
      </c>
      <c r="AA51" s="29">
        <f t="shared" si="7"/>
      </c>
      <c r="AB51" s="29">
        <f t="shared" si="7"/>
      </c>
      <c r="AC51" s="29">
        <f t="shared" si="7"/>
      </c>
      <c r="AD51" s="29">
        <f t="shared" si="7"/>
      </c>
      <c r="AE51" s="29">
        <f t="shared" si="7"/>
      </c>
      <c r="AF51" s="29">
        <f t="shared" si="7"/>
      </c>
      <c r="AG51" s="29">
        <f t="shared" si="7"/>
      </c>
      <c r="AH51" s="29">
        <f t="shared" si="7"/>
      </c>
      <c r="AI51" s="29">
        <f t="shared" si="7"/>
      </c>
      <c r="AJ51" s="29">
        <f t="shared" si="7"/>
      </c>
      <c r="AK51" s="29">
        <f aca="true" t="shared" si="8" ref="AK51:BB51">AK31</f>
      </c>
      <c r="AL51" s="29">
        <f t="shared" si="8"/>
      </c>
      <c r="AM51" s="29">
        <f t="shared" si="8"/>
      </c>
      <c r="AN51" s="29">
        <f t="shared" si="8"/>
      </c>
      <c r="AO51" s="29">
        <f t="shared" si="8"/>
      </c>
      <c r="AP51" s="29">
        <f t="shared" si="8"/>
      </c>
      <c r="AQ51" s="29">
        <f t="shared" si="8"/>
      </c>
      <c r="AR51" s="29">
        <f t="shared" si="8"/>
      </c>
      <c r="AS51" s="29">
        <f t="shared" si="8"/>
      </c>
      <c r="AT51" s="29">
        <f t="shared" si="8"/>
      </c>
      <c r="AU51" s="29">
        <f t="shared" si="8"/>
      </c>
      <c r="AV51" s="29">
        <f t="shared" si="8"/>
      </c>
      <c r="AW51" s="29">
        <f t="shared" si="8"/>
      </c>
      <c r="AX51" s="29">
        <f t="shared" si="8"/>
      </c>
      <c r="AY51" s="29">
        <f t="shared" si="8"/>
      </c>
      <c r="AZ51" s="29">
        <f t="shared" si="8"/>
      </c>
      <c r="BA51" s="29">
        <f t="shared" si="8"/>
      </c>
      <c r="BB51" s="29">
        <f t="shared" si="8"/>
      </c>
    </row>
    <row r="52" spans="1:54" ht="19.5" thickBot="1">
      <c r="A52" s="26" t="s">
        <v>16</v>
      </c>
      <c r="B52" s="22" t="s">
        <v>18</v>
      </c>
      <c r="C52" s="16">
        <f>SUM(E52:BB52)</f>
        <v>2091683.7980345578</v>
      </c>
      <c r="D52" s="2"/>
      <c r="E52" s="27">
        <f aca="true" t="shared" si="9" ref="E52:AJ52">E53*E29</f>
        <v>197261.68054575621</v>
      </c>
      <c r="F52" s="27">
        <f t="shared" si="9"/>
        <v>182649.70420903352</v>
      </c>
      <c r="G52" s="27">
        <f t="shared" si="9"/>
        <v>169120.09648984583</v>
      </c>
      <c r="H52" s="27">
        <f t="shared" si="9"/>
        <v>156592.68193504243</v>
      </c>
      <c r="I52" s="27">
        <f t="shared" si="9"/>
        <v>144993.22401392818</v>
      </c>
      <c r="J52" s="27">
        <f t="shared" si="9"/>
        <v>134252.98519808165</v>
      </c>
      <c r="K52" s="27">
        <f t="shared" si="9"/>
        <v>124308.31962785334</v>
      </c>
      <c r="L52" s="27">
        <f t="shared" si="9"/>
        <v>115100.29595171605</v>
      </c>
      <c r="M52" s="27">
        <f t="shared" si="9"/>
        <v>106574.34810344077</v>
      </c>
      <c r="N52" s="27">
        <f t="shared" si="9"/>
        <v>98679.95194763034</v>
      </c>
      <c r="O52" s="27">
        <f t="shared" si="9"/>
        <v>91370.32587743549</v>
      </c>
      <c r="P52" s="27">
        <f t="shared" si="9"/>
        <v>84602.15359021803</v>
      </c>
      <c r="Q52" s="27">
        <f t="shared" si="9"/>
        <v>78335.32739835004</v>
      </c>
      <c r="R52" s="27">
        <f t="shared" si="9"/>
        <v>72532.71055402781</v>
      </c>
      <c r="S52" s="27">
        <f t="shared" si="9"/>
        <v>67159.91717965539</v>
      </c>
      <c r="T52" s="27">
        <f t="shared" si="9"/>
        <v>62185.1084996809</v>
      </c>
      <c r="U52" s="27">
        <f t="shared" si="9"/>
        <v>57578.80416637119</v>
      </c>
      <c r="V52" s="27">
        <f t="shared" si="9"/>
        <v>53313.7075614548</v>
      </c>
      <c r="W52" s="27">
        <f t="shared" si="9"/>
        <v>49364.544038384076</v>
      </c>
      <c r="X52" s="27">
        <f t="shared" si="9"/>
        <v>45707.91114665192</v>
      </c>
      <c r="Y52" s="27">
        <f t="shared" si="9"/>
        <v>0</v>
      </c>
      <c r="Z52" s="27">
        <f t="shared" si="9"/>
        <v>0</v>
      </c>
      <c r="AA52" s="27">
        <f t="shared" si="9"/>
        <v>0</v>
      </c>
      <c r="AB52" s="27">
        <f t="shared" si="9"/>
        <v>0</v>
      </c>
      <c r="AC52" s="27">
        <f t="shared" si="9"/>
        <v>0</v>
      </c>
      <c r="AD52" s="27">
        <f t="shared" si="9"/>
        <v>0</v>
      </c>
      <c r="AE52" s="27">
        <f t="shared" si="9"/>
        <v>0</v>
      </c>
      <c r="AF52" s="27">
        <f t="shared" si="9"/>
        <v>0</v>
      </c>
      <c r="AG52" s="27">
        <f t="shared" si="9"/>
        <v>0</v>
      </c>
      <c r="AH52" s="27">
        <f t="shared" si="9"/>
        <v>0</v>
      </c>
      <c r="AI52" s="27">
        <f t="shared" si="9"/>
        <v>0</v>
      </c>
      <c r="AJ52" s="27">
        <f t="shared" si="9"/>
        <v>0</v>
      </c>
      <c r="AK52" s="27">
        <f aca="true" t="shared" si="10" ref="AK52:BB52">AK53*AK29</f>
        <v>0</v>
      </c>
      <c r="AL52" s="27">
        <f t="shared" si="10"/>
        <v>0</v>
      </c>
      <c r="AM52" s="27">
        <f t="shared" si="10"/>
        <v>0</v>
      </c>
      <c r="AN52" s="27">
        <f t="shared" si="10"/>
        <v>0</v>
      </c>
      <c r="AO52" s="27">
        <f t="shared" si="10"/>
        <v>0</v>
      </c>
      <c r="AP52" s="27">
        <f t="shared" si="10"/>
        <v>0</v>
      </c>
      <c r="AQ52" s="27">
        <f t="shared" si="10"/>
        <v>0</v>
      </c>
      <c r="AR52" s="27">
        <f t="shared" si="10"/>
        <v>0</v>
      </c>
      <c r="AS52" s="27">
        <f t="shared" si="10"/>
        <v>0</v>
      </c>
      <c r="AT52" s="27">
        <f t="shared" si="10"/>
        <v>0</v>
      </c>
      <c r="AU52" s="27">
        <f t="shared" si="10"/>
        <v>0</v>
      </c>
      <c r="AV52" s="27">
        <f t="shared" si="10"/>
        <v>0</v>
      </c>
      <c r="AW52" s="27">
        <f t="shared" si="10"/>
        <v>0</v>
      </c>
      <c r="AX52" s="27">
        <f t="shared" si="10"/>
        <v>0</v>
      </c>
      <c r="AY52" s="27">
        <f t="shared" si="10"/>
        <v>0</v>
      </c>
      <c r="AZ52" s="27">
        <f t="shared" si="10"/>
        <v>0</v>
      </c>
      <c r="BA52" s="27">
        <f t="shared" si="10"/>
        <v>0</v>
      </c>
      <c r="BB52" s="27">
        <f t="shared" si="10"/>
        <v>0</v>
      </c>
    </row>
    <row r="53" spans="1:54" ht="15.75" thickBot="1">
      <c r="A53" s="30" t="s">
        <v>26</v>
      </c>
      <c r="B53" s="8" t="s">
        <v>18</v>
      </c>
      <c r="C53" s="16">
        <f>SUM(E53:BB53)</f>
        <v>4260852.299788334</v>
      </c>
      <c r="E53" s="49">
        <f aca="true" t="shared" si="11" ref="E53:X53">E57+E61+E64</f>
        <v>213042.61498941673</v>
      </c>
      <c r="F53" s="49">
        <f t="shared" si="11"/>
        <v>213042.61498941673</v>
      </c>
      <c r="G53" s="49">
        <f t="shared" si="11"/>
        <v>213042.61498941673</v>
      </c>
      <c r="H53" s="49">
        <f t="shared" si="11"/>
        <v>213042.61498941673</v>
      </c>
      <c r="I53" s="49">
        <f t="shared" si="11"/>
        <v>213042.61498941673</v>
      </c>
      <c r="J53" s="49">
        <f t="shared" si="11"/>
        <v>213042.61498941673</v>
      </c>
      <c r="K53" s="49">
        <f t="shared" si="11"/>
        <v>213042.61498941673</v>
      </c>
      <c r="L53" s="49">
        <f t="shared" si="11"/>
        <v>213042.61498941673</v>
      </c>
      <c r="M53" s="49">
        <f t="shared" si="11"/>
        <v>213042.61498941673</v>
      </c>
      <c r="N53" s="49">
        <f t="shared" si="11"/>
        <v>213042.61498941673</v>
      </c>
      <c r="O53" s="49">
        <f t="shared" si="11"/>
        <v>213042.61498941673</v>
      </c>
      <c r="P53" s="49">
        <f t="shared" si="11"/>
        <v>213042.61498941673</v>
      </c>
      <c r="Q53" s="49">
        <f t="shared" si="11"/>
        <v>213042.61498941673</v>
      </c>
      <c r="R53" s="49">
        <f t="shared" si="11"/>
        <v>213042.61498941673</v>
      </c>
      <c r="S53" s="49">
        <f t="shared" si="11"/>
        <v>213042.61498941673</v>
      </c>
      <c r="T53" s="49">
        <f t="shared" si="11"/>
        <v>213042.61498941673</v>
      </c>
      <c r="U53" s="49">
        <f t="shared" si="11"/>
        <v>213042.61498941673</v>
      </c>
      <c r="V53" s="49">
        <f t="shared" si="11"/>
        <v>213042.61498941673</v>
      </c>
      <c r="W53" s="49">
        <f t="shared" si="11"/>
        <v>213042.61498941673</v>
      </c>
      <c r="X53" s="49">
        <f t="shared" si="11"/>
        <v>213042.61498941673</v>
      </c>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row>
    <row r="54" ht="12.75">
      <c r="A54" s="13" t="s">
        <v>14</v>
      </c>
    </row>
    <row r="55" spans="1:3" ht="12.75">
      <c r="A55" s="50" t="s">
        <v>65</v>
      </c>
      <c r="B55" s="46" t="s">
        <v>60</v>
      </c>
      <c r="C55" s="45">
        <f>(E8*E9*E10+E11*E8*12*51)/1000</f>
        <v>871.8</v>
      </c>
    </row>
    <row r="56" spans="1:3" ht="12.75">
      <c r="A56" s="50" t="s">
        <v>61</v>
      </c>
      <c r="B56" s="46" t="s">
        <v>62</v>
      </c>
      <c r="C56" s="52">
        <f>C55/(E19/100)*859845/E17/1000</f>
        <v>440.74133995766687</v>
      </c>
    </row>
    <row r="57" spans="1:24" ht="12.75">
      <c r="A57" s="50" t="s">
        <v>63</v>
      </c>
      <c r="B57" s="46" t="s">
        <v>64</v>
      </c>
      <c r="C57" s="53">
        <f>C56*E16</f>
        <v>110.18533498941672</v>
      </c>
      <c r="E57" s="51">
        <f>C57*1000</f>
        <v>110185.33498941672</v>
      </c>
      <c r="F57" s="48">
        <f aca="true" t="shared" si="12" ref="F57:X57">E57</f>
        <v>110185.33498941672</v>
      </c>
      <c r="G57" s="48">
        <f t="shared" si="12"/>
        <v>110185.33498941672</v>
      </c>
      <c r="H57" s="48">
        <f t="shared" si="12"/>
        <v>110185.33498941672</v>
      </c>
      <c r="I57" s="48">
        <f t="shared" si="12"/>
        <v>110185.33498941672</v>
      </c>
      <c r="J57" s="48">
        <f t="shared" si="12"/>
        <v>110185.33498941672</v>
      </c>
      <c r="K57" s="48">
        <f t="shared" si="12"/>
        <v>110185.33498941672</v>
      </c>
      <c r="L57" s="48">
        <f t="shared" si="12"/>
        <v>110185.33498941672</v>
      </c>
      <c r="M57" s="48">
        <f t="shared" si="12"/>
        <v>110185.33498941672</v>
      </c>
      <c r="N57" s="48">
        <f t="shared" si="12"/>
        <v>110185.33498941672</v>
      </c>
      <c r="O57" s="48">
        <f t="shared" si="12"/>
        <v>110185.33498941672</v>
      </c>
      <c r="P57" s="48">
        <f t="shared" si="12"/>
        <v>110185.33498941672</v>
      </c>
      <c r="Q57" s="48">
        <f t="shared" si="12"/>
        <v>110185.33498941672</v>
      </c>
      <c r="R57" s="48">
        <f t="shared" si="12"/>
        <v>110185.33498941672</v>
      </c>
      <c r="S57" s="48">
        <f t="shared" si="12"/>
        <v>110185.33498941672</v>
      </c>
      <c r="T57" s="48">
        <f t="shared" si="12"/>
        <v>110185.33498941672</v>
      </c>
      <c r="U57" s="48">
        <f t="shared" si="12"/>
        <v>110185.33498941672</v>
      </c>
      <c r="V57" s="48">
        <f t="shared" si="12"/>
        <v>110185.33498941672</v>
      </c>
      <c r="W57" s="48">
        <f t="shared" si="12"/>
        <v>110185.33498941672</v>
      </c>
      <c r="X57" s="48">
        <f t="shared" si="12"/>
        <v>110185.33498941672</v>
      </c>
    </row>
    <row r="59" ht="12.75">
      <c r="A59" s="13" t="s">
        <v>15</v>
      </c>
    </row>
    <row r="60" spans="1:3" ht="12.75">
      <c r="A60" s="50" t="s">
        <v>66</v>
      </c>
      <c r="B60" s="46" t="s">
        <v>67</v>
      </c>
      <c r="C60" s="45">
        <f>E20*365*24</f>
        <v>17520</v>
      </c>
    </row>
    <row r="61" spans="1:24" ht="12.75">
      <c r="A61" s="50" t="s">
        <v>68</v>
      </c>
      <c r="B61" s="46" t="s">
        <v>69</v>
      </c>
      <c r="C61" s="45">
        <f>C60*E21/100</f>
        <v>6377.28</v>
      </c>
      <c r="E61">
        <f>C61</f>
        <v>6377.28</v>
      </c>
      <c r="F61">
        <f aca="true" t="shared" si="13" ref="F61:X61">E61</f>
        <v>6377.28</v>
      </c>
      <c r="G61">
        <f t="shared" si="13"/>
        <v>6377.28</v>
      </c>
      <c r="H61">
        <f t="shared" si="13"/>
        <v>6377.28</v>
      </c>
      <c r="I61">
        <f t="shared" si="13"/>
        <v>6377.28</v>
      </c>
      <c r="J61">
        <f t="shared" si="13"/>
        <v>6377.28</v>
      </c>
      <c r="K61">
        <f t="shared" si="13"/>
        <v>6377.28</v>
      </c>
      <c r="L61">
        <f t="shared" si="13"/>
        <v>6377.28</v>
      </c>
      <c r="M61">
        <f t="shared" si="13"/>
        <v>6377.28</v>
      </c>
      <c r="N61">
        <f t="shared" si="13"/>
        <v>6377.28</v>
      </c>
      <c r="O61">
        <f t="shared" si="13"/>
        <v>6377.28</v>
      </c>
      <c r="P61">
        <f t="shared" si="13"/>
        <v>6377.28</v>
      </c>
      <c r="Q61">
        <f t="shared" si="13"/>
        <v>6377.28</v>
      </c>
      <c r="R61">
        <f t="shared" si="13"/>
        <v>6377.28</v>
      </c>
      <c r="S61">
        <f t="shared" si="13"/>
        <v>6377.28</v>
      </c>
      <c r="T61">
        <f t="shared" si="13"/>
        <v>6377.28</v>
      </c>
      <c r="U61">
        <f t="shared" si="13"/>
        <v>6377.28</v>
      </c>
      <c r="V61">
        <f t="shared" si="13"/>
        <v>6377.28</v>
      </c>
      <c r="W61">
        <f t="shared" si="13"/>
        <v>6377.28</v>
      </c>
      <c r="X61">
        <f t="shared" si="13"/>
        <v>6377.28</v>
      </c>
    </row>
    <row r="63" ht="12.75">
      <c r="A63" s="13" t="s">
        <v>19</v>
      </c>
    </row>
    <row r="64" spans="1:24" ht="12.75">
      <c r="A64" s="50" t="s">
        <v>70</v>
      </c>
      <c r="B64" s="46" t="s">
        <v>69</v>
      </c>
      <c r="C64" s="45">
        <f>E22*1.34*12*4</f>
        <v>96480.00000000001</v>
      </c>
      <c r="E64">
        <f>C64</f>
        <v>96480.00000000001</v>
      </c>
      <c r="F64">
        <f aca="true" t="shared" si="14" ref="F64:X64">E64</f>
        <v>96480.00000000001</v>
      </c>
      <c r="G64">
        <f t="shared" si="14"/>
        <v>96480.00000000001</v>
      </c>
      <c r="H64">
        <f t="shared" si="14"/>
        <v>96480.00000000001</v>
      </c>
      <c r="I64">
        <f t="shared" si="14"/>
        <v>96480.00000000001</v>
      </c>
      <c r="J64">
        <f t="shared" si="14"/>
        <v>96480.00000000001</v>
      </c>
      <c r="K64">
        <f t="shared" si="14"/>
        <v>96480.00000000001</v>
      </c>
      <c r="L64">
        <f t="shared" si="14"/>
        <v>96480.00000000001</v>
      </c>
      <c r="M64">
        <f t="shared" si="14"/>
        <v>96480.00000000001</v>
      </c>
      <c r="N64">
        <f t="shared" si="14"/>
        <v>96480.00000000001</v>
      </c>
      <c r="O64">
        <f t="shared" si="14"/>
        <v>96480.00000000001</v>
      </c>
      <c r="P64">
        <f t="shared" si="14"/>
        <v>96480.00000000001</v>
      </c>
      <c r="Q64">
        <f t="shared" si="14"/>
        <v>96480.00000000001</v>
      </c>
      <c r="R64">
        <f t="shared" si="14"/>
        <v>96480.00000000001</v>
      </c>
      <c r="S64">
        <f t="shared" si="14"/>
        <v>96480.00000000001</v>
      </c>
      <c r="T64">
        <f t="shared" si="14"/>
        <v>96480.00000000001</v>
      </c>
      <c r="U64">
        <f t="shared" si="14"/>
        <v>96480.00000000001</v>
      </c>
      <c r="V64">
        <f t="shared" si="14"/>
        <v>96480.00000000001</v>
      </c>
      <c r="W64">
        <f t="shared" si="14"/>
        <v>96480.00000000001</v>
      </c>
      <c r="X64">
        <f t="shared" si="14"/>
        <v>96480.00000000001</v>
      </c>
    </row>
    <row r="66" ht="12.75">
      <c r="A66" s="13" t="s">
        <v>17</v>
      </c>
    </row>
    <row r="67" ht="12.75">
      <c r="A67" s="6"/>
    </row>
    <row r="68" ht="12.75">
      <c r="A68" s="6"/>
    </row>
    <row r="69" ht="13.5" thickBot="1"/>
    <row r="70" spans="1:3" ht="15.75" thickBot="1">
      <c r="A70" s="20" t="s">
        <v>27</v>
      </c>
      <c r="B70" s="18" t="s">
        <v>7</v>
      </c>
      <c r="C70" s="16">
        <f>C55*1000</f>
        <v>871800</v>
      </c>
    </row>
    <row r="71" spans="1:3" ht="12.75">
      <c r="A71" s="7"/>
      <c r="B71" s="8"/>
      <c r="C71" s="3"/>
    </row>
    <row r="72" spans="1:3" ht="12.75">
      <c r="A72" s="7"/>
      <c r="B72" s="8"/>
      <c r="C72" s="3"/>
    </row>
    <row r="73" spans="1:3" ht="12.75">
      <c r="A73" s="7"/>
      <c r="B73" s="8"/>
      <c r="C73" s="3"/>
    </row>
    <row r="74" spans="1:3" ht="12.75">
      <c r="A74" s="7"/>
      <c r="B74" s="8"/>
      <c r="C74" s="3"/>
    </row>
    <row r="75" ht="13.5" thickBot="1"/>
    <row r="76" spans="1:3" ht="17.25" thickBot="1" thickTop="1">
      <c r="A76" s="38" t="s">
        <v>8</v>
      </c>
      <c r="B76" s="39" t="s">
        <v>9</v>
      </c>
      <c r="C76" s="63">
        <f>IF(C70&gt;0,C31*100/C70*C29/100/(1-POWER(1+C29/100,-C28)),"")</f>
        <v>28.46726942630677</v>
      </c>
    </row>
    <row r="77" ht="13.5" thickTop="1"/>
  </sheetData>
  <sheetProtection/>
  <mergeCells count="20">
    <mergeCell ref="A20:C20"/>
    <mergeCell ref="A23:C23"/>
    <mergeCell ref="A18:C18"/>
    <mergeCell ref="A19:C19"/>
    <mergeCell ref="A9:C9"/>
    <mergeCell ref="A10:C10"/>
    <mergeCell ref="A11:C11"/>
    <mergeCell ref="A12:C12"/>
    <mergeCell ref="A14:C14"/>
    <mergeCell ref="A15:C15"/>
    <mergeCell ref="A2:E2"/>
    <mergeCell ref="A1:E1"/>
    <mergeCell ref="A21:C21"/>
    <mergeCell ref="A22:C22"/>
    <mergeCell ref="A13:C13"/>
    <mergeCell ref="A6:I6"/>
    <mergeCell ref="A7:C7"/>
    <mergeCell ref="A8:C8"/>
    <mergeCell ref="A16:C16"/>
    <mergeCell ref="A17:C17"/>
  </mergeCells>
  <printOptions gridLines="1"/>
  <pageMargins left="0.99" right="0.45" top="0.73" bottom="0.65" header="0.5" footer="0.5"/>
  <pageSetup fitToHeight="1" fitToWidth="1" horizontalDpi="200" verticalDpi="200" orientation="portrait" scale="6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B79"/>
  <sheetViews>
    <sheetView zoomScalePageLayoutView="0" workbookViewId="0" topLeftCell="A59">
      <selection activeCell="C79" sqref="C79"/>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 min="5" max="5" width="10.57421875" style="0" bestFit="1" customWidth="1"/>
    <col min="6" max="6" width="10.7109375" style="0" bestFit="1" customWidth="1"/>
    <col min="7" max="7" width="10.28125" style="0" customWidth="1"/>
    <col min="8" max="8" width="10.140625" style="0" customWidth="1"/>
    <col min="9" max="24" width="9.57421875" style="0" bestFit="1" customWidth="1"/>
  </cols>
  <sheetData>
    <row r="1" spans="1:5" ht="24" customHeight="1">
      <c r="A1" s="66" t="s">
        <v>29</v>
      </c>
      <c r="B1" s="67"/>
      <c r="C1" s="65"/>
      <c r="D1" s="65"/>
      <c r="E1" s="65"/>
    </row>
    <row r="2" spans="1:5" ht="24" customHeight="1">
      <c r="A2" s="64" t="s">
        <v>30</v>
      </c>
      <c r="B2" s="65"/>
      <c r="C2" s="65"/>
      <c r="D2" s="65"/>
      <c r="E2" s="65"/>
    </row>
    <row r="3" spans="1:5" ht="24" customHeight="1">
      <c r="A3" s="54" t="s">
        <v>76</v>
      </c>
      <c r="B3" s="55"/>
      <c r="C3" s="55"/>
      <c r="D3" s="55"/>
      <c r="E3" s="55"/>
    </row>
    <row r="4" spans="1:5" ht="12" customHeight="1">
      <c r="A4" s="5"/>
      <c r="B4" s="2"/>
      <c r="C4" s="2"/>
      <c r="D4" s="2"/>
      <c r="E4" s="2"/>
    </row>
    <row r="5" spans="1:5" ht="12" customHeight="1" thickBot="1">
      <c r="A5" s="25" t="s">
        <v>4</v>
      </c>
      <c r="B5" s="2"/>
      <c r="C5" s="2"/>
      <c r="D5" s="2"/>
      <c r="E5" s="2"/>
    </row>
    <row r="6" spans="1:9" ht="72.75" customHeight="1" thickBot="1">
      <c r="A6" s="72" t="s">
        <v>39</v>
      </c>
      <c r="B6" s="73"/>
      <c r="C6" s="73"/>
      <c r="D6" s="73"/>
      <c r="E6" s="73"/>
      <c r="F6" s="73"/>
      <c r="G6" s="73"/>
      <c r="H6" s="73"/>
      <c r="I6" s="74"/>
    </row>
    <row r="7" spans="1:9" ht="15" customHeight="1" thickBot="1">
      <c r="A7" s="75" t="s">
        <v>28</v>
      </c>
      <c r="B7" s="76"/>
      <c r="C7" s="77"/>
      <c r="D7" s="36" t="s">
        <v>1</v>
      </c>
      <c r="E7" s="33"/>
      <c r="F7" s="33"/>
      <c r="G7" s="33"/>
      <c r="H7" s="33"/>
      <c r="I7" s="33"/>
    </row>
    <row r="8" spans="1:11" ht="15" customHeight="1" thickTop="1">
      <c r="A8" s="78" t="s">
        <v>31</v>
      </c>
      <c r="B8" s="79"/>
      <c r="C8" s="80"/>
      <c r="D8" s="34" t="s">
        <v>32</v>
      </c>
      <c r="E8" s="43">
        <v>50</v>
      </c>
      <c r="F8" s="33"/>
      <c r="G8" s="43"/>
      <c r="H8" s="33"/>
      <c r="I8" s="33"/>
      <c r="J8" s="33"/>
      <c r="K8" s="33"/>
    </row>
    <row r="9" spans="1:11" ht="15" customHeight="1">
      <c r="A9" s="68" t="s">
        <v>33</v>
      </c>
      <c r="B9" s="69"/>
      <c r="C9" s="70"/>
      <c r="D9" s="34" t="s">
        <v>34</v>
      </c>
      <c r="E9" s="43">
        <v>120</v>
      </c>
      <c r="F9" s="33"/>
      <c r="G9" s="43"/>
      <c r="H9" s="33"/>
      <c r="I9" s="33"/>
      <c r="J9" s="33"/>
      <c r="K9" s="33"/>
    </row>
    <row r="10" spans="1:11" ht="15" customHeight="1">
      <c r="A10" s="81" t="s">
        <v>35</v>
      </c>
      <c r="B10" s="82"/>
      <c r="C10" s="83"/>
      <c r="D10" s="34" t="s">
        <v>36</v>
      </c>
      <c r="E10" s="43">
        <v>130</v>
      </c>
      <c r="F10" s="33"/>
      <c r="G10" s="43"/>
      <c r="H10" s="33"/>
      <c r="I10" s="33"/>
      <c r="J10" s="33"/>
      <c r="K10" s="33"/>
    </row>
    <row r="11" spans="1:11" ht="15" customHeight="1">
      <c r="A11" s="82" t="s">
        <v>37</v>
      </c>
      <c r="B11" s="82"/>
      <c r="C11" s="83"/>
      <c r="D11" s="34" t="s">
        <v>38</v>
      </c>
      <c r="E11" s="43">
        <v>3</v>
      </c>
      <c r="F11" s="33"/>
      <c r="G11" s="43"/>
      <c r="H11" s="33"/>
      <c r="I11" s="33"/>
      <c r="J11" s="33"/>
      <c r="K11" s="33"/>
    </row>
    <row r="12" spans="1:9" ht="15" customHeight="1">
      <c r="A12" s="68" t="s">
        <v>71</v>
      </c>
      <c r="B12" s="69"/>
      <c r="C12" s="70"/>
      <c r="D12" s="34" t="s">
        <v>40</v>
      </c>
      <c r="E12" s="43">
        <v>230</v>
      </c>
      <c r="F12" s="33"/>
      <c r="G12" s="33"/>
      <c r="H12" s="33"/>
      <c r="I12" s="33"/>
    </row>
    <row r="13" spans="1:9" ht="15" customHeight="1">
      <c r="A13" s="68" t="s">
        <v>72</v>
      </c>
      <c r="B13" s="71"/>
      <c r="C13" s="70"/>
      <c r="D13" s="34" t="s">
        <v>55</v>
      </c>
      <c r="E13" s="43">
        <v>65</v>
      </c>
      <c r="F13" s="33"/>
      <c r="G13" s="33"/>
      <c r="H13" s="33"/>
      <c r="I13" s="33"/>
    </row>
    <row r="14" spans="1:9" ht="15" customHeight="1">
      <c r="A14" s="68" t="s">
        <v>41</v>
      </c>
      <c r="B14" s="69"/>
      <c r="C14" s="70"/>
      <c r="D14" s="34" t="s">
        <v>40</v>
      </c>
      <c r="E14" s="43">
        <v>1200</v>
      </c>
      <c r="F14" s="33"/>
      <c r="G14" s="33"/>
      <c r="H14" s="33"/>
      <c r="I14" s="33"/>
    </row>
    <row r="15" spans="1:9" ht="15" customHeight="1">
      <c r="A15" s="68" t="s">
        <v>42</v>
      </c>
      <c r="B15" s="69"/>
      <c r="C15" s="70"/>
      <c r="D15" s="34" t="s">
        <v>40</v>
      </c>
      <c r="E15" s="43">
        <v>10</v>
      </c>
      <c r="F15" s="33"/>
      <c r="G15" s="33"/>
      <c r="H15" s="33"/>
      <c r="I15" s="33"/>
    </row>
    <row r="16" spans="1:9" ht="15" customHeight="1">
      <c r="A16" s="68" t="s">
        <v>43</v>
      </c>
      <c r="B16" s="69"/>
      <c r="C16" s="70"/>
      <c r="D16" s="34" t="s">
        <v>47</v>
      </c>
      <c r="E16" s="43">
        <f>0.25</f>
        <v>0.25</v>
      </c>
      <c r="F16" s="33"/>
      <c r="G16" s="33"/>
      <c r="H16" s="33"/>
      <c r="I16" s="33"/>
    </row>
    <row r="17" spans="1:9" ht="15" customHeight="1">
      <c r="A17" s="68" t="s">
        <v>44</v>
      </c>
      <c r="B17" s="71"/>
      <c r="C17" s="70"/>
      <c r="D17" s="34" t="s">
        <v>48</v>
      </c>
      <c r="E17" s="43">
        <v>2126</v>
      </c>
      <c r="F17" s="33"/>
      <c r="G17" s="33"/>
      <c r="H17" s="33"/>
      <c r="I17" s="33"/>
    </row>
    <row r="18" spans="1:9" ht="15" customHeight="1">
      <c r="A18" s="68" t="s">
        <v>45</v>
      </c>
      <c r="B18" s="69"/>
      <c r="C18" s="70"/>
      <c r="D18" s="34" t="s">
        <v>49</v>
      </c>
      <c r="E18" s="44">
        <v>10</v>
      </c>
      <c r="F18" s="33"/>
      <c r="G18" s="33"/>
      <c r="H18" s="33"/>
      <c r="I18" s="33"/>
    </row>
    <row r="19" spans="1:9" ht="15" customHeight="1">
      <c r="A19" s="68" t="s">
        <v>46</v>
      </c>
      <c r="B19" s="71"/>
      <c r="C19" s="70"/>
      <c r="D19" s="34" t="s">
        <v>3</v>
      </c>
      <c r="E19" s="43">
        <v>80</v>
      </c>
      <c r="F19" s="33"/>
      <c r="G19" s="33"/>
      <c r="H19" s="33"/>
      <c r="I19" s="33"/>
    </row>
    <row r="20" spans="1:9" ht="15" customHeight="1">
      <c r="A20" s="68" t="s">
        <v>50</v>
      </c>
      <c r="B20" s="69"/>
      <c r="C20" s="70"/>
      <c r="D20" s="34" t="s">
        <v>53</v>
      </c>
      <c r="E20" s="43">
        <v>2</v>
      </c>
      <c r="F20" s="33"/>
      <c r="G20" s="33"/>
      <c r="H20" s="33"/>
      <c r="I20" s="33"/>
    </row>
    <row r="21" spans="1:9" ht="15" customHeight="1">
      <c r="A21" s="68" t="s">
        <v>51</v>
      </c>
      <c r="B21" s="69"/>
      <c r="C21" s="70"/>
      <c r="D21" s="34" t="s">
        <v>9</v>
      </c>
      <c r="E21" s="43">
        <v>36.4</v>
      </c>
      <c r="F21" s="33"/>
      <c r="G21" s="33"/>
      <c r="H21" s="33"/>
      <c r="I21" s="33"/>
    </row>
    <row r="22" spans="1:9" ht="15" customHeight="1">
      <c r="A22" s="68" t="s">
        <v>52</v>
      </c>
      <c r="B22" s="69"/>
      <c r="C22" s="70"/>
      <c r="D22" s="34" t="s">
        <v>54</v>
      </c>
      <c r="E22" s="43">
        <v>1500</v>
      </c>
      <c r="F22" s="33"/>
      <c r="G22" s="33"/>
      <c r="H22" s="33"/>
      <c r="I22" s="33"/>
    </row>
    <row r="23" spans="1:9" ht="15" customHeight="1" thickBot="1">
      <c r="A23" s="84"/>
      <c r="B23" s="85"/>
      <c r="C23" s="86"/>
      <c r="D23" s="33"/>
      <c r="E23" s="33"/>
      <c r="F23" s="33"/>
      <c r="G23" s="33"/>
      <c r="H23" s="33"/>
      <c r="I23" s="33"/>
    </row>
    <row r="24" spans="1:9" ht="15" customHeight="1">
      <c r="A24" s="32"/>
      <c r="B24" s="37"/>
      <c r="C24" s="37"/>
      <c r="D24" s="33"/>
      <c r="E24" s="33"/>
      <c r="F24" s="33"/>
      <c r="G24" s="33"/>
      <c r="H24" s="33"/>
      <c r="I24" s="33"/>
    </row>
    <row r="25" spans="1:9" ht="15" customHeight="1">
      <c r="A25" s="32"/>
      <c r="B25" s="33"/>
      <c r="C25" s="33"/>
      <c r="D25" s="33"/>
      <c r="E25" s="33"/>
      <c r="F25" s="33"/>
      <c r="G25" s="33"/>
      <c r="H25" s="33"/>
      <c r="I25" s="33"/>
    </row>
    <row r="26" spans="1:5" ht="15" customHeight="1" thickBot="1">
      <c r="A26" s="1"/>
      <c r="B26" s="2"/>
      <c r="C26" s="2"/>
      <c r="D26" s="2"/>
      <c r="E26" s="2"/>
    </row>
    <row r="27" spans="1:3" ht="14.25" thickBot="1" thickTop="1">
      <c r="A27" s="35" t="s">
        <v>0</v>
      </c>
      <c r="B27" s="4" t="s">
        <v>1</v>
      </c>
      <c r="C27" s="3"/>
    </row>
    <row r="28" spans="1:3" ht="25.5" customHeight="1" thickTop="1">
      <c r="A28" s="19" t="s">
        <v>23</v>
      </c>
      <c r="B28" s="40" t="s">
        <v>6</v>
      </c>
      <c r="C28" s="41">
        <v>20</v>
      </c>
    </row>
    <row r="29" spans="1:54" ht="15" thickBot="1">
      <c r="A29" s="17" t="s">
        <v>2</v>
      </c>
      <c r="B29" s="40" t="s">
        <v>3</v>
      </c>
      <c r="C29" s="42">
        <v>8</v>
      </c>
      <c r="D29" s="15">
        <v>1</v>
      </c>
      <c r="E29" s="15">
        <f>1/(1+C29/100)</f>
        <v>0.9259259259259258</v>
      </c>
      <c r="F29" s="15">
        <f aca="true" t="shared" si="0" ref="F29:AK29">E29/(1+$C29/100)</f>
        <v>0.8573388203017831</v>
      </c>
      <c r="G29" s="15">
        <f t="shared" si="0"/>
        <v>0.7938322410201695</v>
      </c>
      <c r="H29" s="15">
        <f t="shared" si="0"/>
        <v>0.7350298527964532</v>
      </c>
      <c r="I29" s="15">
        <f t="shared" si="0"/>
        <v>0.6805831970337529</v>
      </c>
      <c r="J29" s="15">
        <f t="shared" si="0"/>
        <v>0.6301696268831045</v>
      </c>
      <c r="K29" s="15">
        <f t="shared" si="0"/>
        <v>0.5834903952621338</v>
      </c>
      <c r="L29" s="15">
        <f t="shared" si="0"/>
        <v>0.5402688845019756</v>
      </c>
      <c r="M29" s="15">
        <f t="shared" si="0"/>
        <v>0.5002489671314588</v>
      </c>
      <c r="N29" s="15">
        <f t="shared" si="0"/>
        <v>0.4631934880846841</v>
      </c>
      <c r="O29" s="15">
        <f t="shared" si="0"/>
        <v>0.4288828593376704</v>
      </c>
      <c r="P29" s="15">
        <f t="shared" si="0"/>
        <v>0.3971137586459911</v>
      </c>
      <c r="Q29" s="15">
        <f t="shared" si="0"/>
        <v>0.36769792467221396</v>
      </c>
      <c r="R29" s="15">
        <f t="shared" si="0"/>
        <v>0.3404610413631611</v>
      </c>
      <c r="S29" s="15">
        <f t="shared" si="0"/>
        <v>0.3152417049658899</v>
      </c>
      <c r="T29" s="15">
        <f t="shared" si="0"/>
        <v>0.2918904675610091</v>
      </c>
      <c r="U29" s="15">
        <f t="shared" si="0"/>
        <v>0.27026895144537877</v>
      </c>
      <c r="V29" s="15">
        <f t="shared" si="0"/>
        <v>0.2502490291160914</v>
      </c>
      <c r="W29" s="15">
        <f t="shared" si="0"/>
        <v>0.23171206399638095</v>
      </c>
      <c r="X29" s="15">
        <f t="shared" si="0"/>
        <v>0.21454820740405642</v>
      </c>
      <c r="Y29" s="15">
        <f t="shared" si="0"/>
        <v>0.19865574759634852</v>
      </c>
      <c r="Z29" s="15">
        <f t="shared" si="0"/>
        <v>0.18394050703365603</v>
      </c>
      <c r="AA29" s="15">
        <f t="shared" si="0"/>
        <v>0.17031528429042223</v>
      </c>
      <c r="AB29" s="15">
        <f t="shared" si="0"/>
        <v>0.15769933730594649</v>
      </c>
      <c r="AC29" s="15">
        <f t="shared" si="0"/>
        <v>0.14601790491291342</v>
      </c>
      <c r="AD29" s="15">
        <f t="shared" si="0"/>
        <v>0.13520176380825316</v>
      </c>
      <c r="AE29" s="15">
        <f t="shared" si="0"/>
        <v>0.12518681834097514</v>
      </c>
      <c r="AF29" s="15">
        <f t="shared" si="0"/>
        <v>0.11591372068608809</v>
      </c>
      <c r="AG29" s="15">
        <f t="shared" si="0"/>
        <v>0.10732751915378526</v>
      </c>
      <c r="AH29" s="15">
        <f t="shared" si="0"/>
        <v>0.09937733254980116</v>
      </c>
      <c r="AI29" s="15">
        <f t="shared" si="0"/>
        <v>0.09201604865722329</v>
      </c>
      <c r="AJ29" s="15">
        <f t="shared" si="0"/>
        <v>0.08520004505298452</v>
      </c>
      <c r="AK29" s="15">
        <f t="shared" si="0"/>
        <v>0.0788889306046153</v>
      </c>
      <c r="AL29" s="15">
        <f aca="true" t="shared" si="1" ref="AL29:BB29">AK29/(1+$C29/100)</f>
        <v>0.07304530611538453</v>
      </c>
      <c r="AM29" s="15">
        <f t="shared" si="1"/>
        <v>0.06763454269943012</v>
      </c>
      <c r="AN29" s="15">
        <f t="shared" si="1"/>
        <v>0.0626245765735464</v>
      </c>
      <c r="AO29" s="15">
        <f t="shared" si="1"/>
        <v>0.057985719049580005</v>
      </c>
      <c r="AP29" s="15">
        <f t="shared" si="1"/>
        <v>0.05369048060146296</v>
      </c>
      <c r="AQ29" s="15">
        <f t="shared" si="1"/>
        <v>0.04971340796431755</v>
      </c>
      <c r="AR29" s="15">
        <f t="shared" si="1"/>
        <v>0.04603093330029402</v>
      </c>
      <c r="AS29" s="15">
        <f t="shared" si="1"/>
        <v>0.042621234537309274</v>
      </c>
      <c r="AT29" s="15">
        <f t="shared" si="1"/>
        <v>0.03946410605306414</v>
      </c>
      <c r="AU29" s="15">
        <f t="shared" si="1"/>
        <v>0.03654083893802235</v>
      </c>
      <c r="AV29" s="15">
        <f t="shared" si="1"/>
        <v>0.033834110127798474</v>
      </c>
      <c r="AW29" s="15">
        <f t="shared" si="1"/>
        <v>0.03132787974796155</v>
      </c>
      <c r="AX29" s="15">
        <f t="shared" si="1"/>
        <v>0.02900729606292736</v>
      </c>
      <c r="AY29" s="15">
        <f t="shared" si="1"/>
        <v>0.02685860746567348</v>
      </c>
      <c r="AZ29" s="15">
        <f t="shared" si="1"/>
        <v>0.0248690809867347</v>
      </c>
      <c r="BA29" s="15">
        <f t="shared" si="1"/>
        <v>0.023026926839569164</v>
      </c>
      <c r="BB29" s="15">
        <f t="shared" si="1"/>
        <v>0.02132122855515663</v>
      </c>
    </row>
    <row r="30" ht="15" thickBot="1">
      <c r="D30" s="29" t="s">
        <v>5</v>
      </c>
    </row>
    <row r="31" spans="1:54" ht="15.75" thickBot="1">
      <c r="A31" s="20" t="s">
        <v>22</v>
      </c>
      <c r="B31" s="18" t="s">
        <v>18</v>
      </c>
      <c r="C31" s="16">
        <f>C32+C55</f>
        <v>2434012.678143709</v>
      </c>
      <c r="D31" s="29">
        <v>0</v>
      </c>
      <c r="E31" s="29">
        <f aca="true" t="shared" si="2" ref="E31:AJ31">IF(D31&lt;$C28,D31+1,"")</f>
        <v>1</v>
      </c>
      <c r="F31" s="29">
        <f t="shared" si="2"/>
        <v>2</v>
      </c>
      <c r="G31" s="29">
        <f t="shared" si="2"/>
        <v>3</v>
      </c>
      <c r="H31" s="29">
        <f t="shared" si="2"/>
        <v>4</v>
      </c>
      <c r="I31" s="29">
        <f t="shared" si="2"/>
        <v>5</v>
      </c>
      <c r="J31" s="29">
        <f t="shared" si="2"/>
        <v>6</v>
      </c>
      <c r="K31" s="29">
        <f t="shared" si="2"/>
        <v>7</v>
      </c>
      <c r="L31" s="29">
        <f t="shared" si="2"/>
        <v>8</v>
      </c>
      <c r="M31" s="29">
        <f t="shared" si="2"/>
        <v>9</v>
      </c>
      <c r="N31" s="29">
        <f t="shared" si="2"/>
        <v>10</v>
      </c>
      <c r="O31" s="29">
        <f t="shared" si="2"/>
        <v>11</v>
      </c>
      <c r="P31" s="29">
        <f t="shared" si="2"/>
        <v>12</v>
      </c>
      <c r="Q31" s="29">
        <f t="shared" si="2"/>
        <v>13</v>
      </c>
      <c r="R31" s="29">
        <f t="shared" si="2"/>
        <v>14</v>
      </c>
      <c r="S31" s="29">
        <f t="shared" si="2"/>
        <v>15</v>
      </c>
      <c r="T31" s="29">
        <f t="shared" si="2"/>
        <v>16</v>
      </c>
      <c r="U31" s="29">
        <f t="shared" si="2"/>
        <v>17</v>
      </c>
      <c r="V31" s="29">
        <f t="shared" si="2"/>
        <v>18</v>
      </c>
      <c r="W31" s="29">
        <f t="shared" si="2"/>
        <v>19</v>
      </c>
      <c r="X31" s="29">
        <f t="shared" si="2"/>
        <v>20</v>
      </c>
      <c r="Y31" s="29">
        <f t="shared" si="2"/>
      </c>
      <c r="Z31" s="29">
        <f t="shared" si="2"/>
      </c>
      <c r="AA31" s="29">
        <f t="shared" si="2"/>
      </c>
      <c r="AB31" s="29">
        <f t="shared" si="2"/>
      </c>
      <c r="AC31" s="29">
        <f t="shared" si="2"/>
      </c>
      <c r="AD31" s="29">
        <f t="shared" si="2"/>
      </c>
      <c r="AE31" s="29">
        <f t="shared" si="2"/>
      </c>
      <c r="AF31" s="29">
        <f t="shared" si="2"/>
      </c>
      <c r="AG31" s="29">
        <f t="shared" si="2"/>
      </c>
      <c r="AH31" s="29">
        <f t="shared" si="2"/>
      </c>
      <c r="AI31" s="29">
        <f t="shared" si="2"/>
      </c>
      <c r="AJ31" s="29">
        <f t="shared" si="2"/>
      </c>
      <c r="AK31" s="29">
        <f aca="true" t="shared" si="3" ref="AK31:BB31">IF(AJ31&lt;$C28,AJ31+1,"")</f>
      </c>
      <c r="AL31" s="29">
        <f t="shared" si="3"/>
      </c>
      <c r="AM31" s="29">
        <f t="shared" si="3"/>
      </c>
      <c r="AN31" s="29">
        <f t="shared" si="3"/>
      </c>
      <c r="AO31" s="29">
        <f t="shared" si="3"/>
      </c>
      <c r="AP31" s="29">
        <f t="shared" si="3"/>
      </c>
      <c r="AQ31" s="29">
        <f t="shared" si="3"/>
      </c>
      <c r="AR31" s="29">
        <f t="shared" si="3"/>
      </c>
      <c r="AS31" s="29">
        <f t="shared" si="3"/>
      </c>
      <c r="AT31" s="29">
        <f t="shared" si="3"/>
      </c>
      <c r="AU31" s="29">
        <f t="shared" si="3"/>
      </c>
      <c r="AV31" s="29">
        <f t="shared" si="3"/>
      </c>
      <c r="AW31" s="29">
        <f t="shared" si="3"/>
      </c>
      <c r="AX31" s="29">
        <f t="shared" si="3"/>
      </c>
      <c r="AY31" s="29">
        <f t="shared" si="3"/>
      </c>
      <c r="AZ31" s="29">
        <f t="shared" si="3"/>
      </c>
      <c r="BA31" s="29">
        <f t="shared" si="3"/>
      </c>
      <c r="BB31" s="29">
        <f t="shared" si="3"/>
      </c>
    </row>
    <row r="32" spans="1:54" ht="19.5" thickBot="1">
      <c r="A32" s="26" t="s">
        <v>10</v>
      </c>
      <c r="B32" s="21" t="s">
        <v>18</v>
      </c>
      <c r="C32" s="16">
        <f>SUM(D32:BB32)</f>
        <v>342328.88010915107</v>
      </c>
      <c r="D32" s="27">
        <f aca="true" t="shared" si="4" ref="D32:AI32">D33*D29</f>
        <v>3389.394852565853</v>
      </c>
      <c r="E32" s="27">
        <f t="shared" si="4"/>
        <v>78601.4646204379</v>
      </c>
      <c r="F32" s="27">
        <f t="shared" si="4"/>
        <v>72779.13390781285</v>
      </c>
      <c r="G32" s="27">
        <f t="shared" si="4"/>
        <v>67388.08695167858</v>
      </c>
      <c r="H32" s="27">
        <f t="shared" si="4"/>
        <v>62396.37680710979</v>
      </c>
      <c r="I32" s="27">
        <f t="shared" si="4"/>
        <v>57774.422969546096</v>
      </c>
      <c r="J32" s="27">
        <f t="shared" si="4"/>
        <v>0</v>
      </c>
      <c r="K32" s="27">
        <f t="shared" si="4"/>
        <v>0</v>
      </c>
      <c r="L32" s="27">
        <f t="shared" si="4"/>
        <v>0</v>
      </c>
      <c r="M32" s="27">
        <f t="shared" si="4"/>
        <v>0</v>
      </c>
      <c r="N32" s="27">
        <f t="shared" si="4"/>
        <v>0</v>
      </c>
      <c r="O32" s="27">
        <f t="shared" si="4"/>
        <v>0</v>
      </c>
      <c r="P32" s="27">
        <f t="shared" si="4"/>
        <v>0</v>
      </c>
      <c r="Q32" s="27">
        <f t="shared" si="4"/>
        <v>0</v>
      </c>
      <c r="R32" s="27">
        <f t="shared" si="4"/>
        <v>0</v>
      </c>
      <c r="S32" s="27">
        <f t="shared" si="4"/>
        <v>0</v>
      </c>
      <c r="T32" s="27">
        <f t="shared" si="4"/>
        <v>0</v>
      </c>
      <c r="U32" s="27">
        <f t="shared" si="4"/>
        <v>0</v>
      </c>
      <c r="V32" s="27">
        <f t="shared" si="4"/>
        <v>0</v>
      </c>
      <c r="W32" s="27">
        <f t="shared" si="4"/>
        <v>0</v>
      </c>
      <c r="X32" s="27">
        <f t="shared" si="4"/>
        <v>0</v>
      </c>
      <c r="Y32" s="27">
        <f t="shared" si="4"/>
        <v>0</v>
      </c>
      <c r="Z32" s="27">
        <f t="shared" si="4"/>
        <v>0</v>
      </c>
      <c r="AA32" s="27">
        <f t="shared" si="4"/>
        <v>0</v>
      </c>
      <c r="AB32" s="27">
        <f t="shared" si="4"/>
        <v>0</v>
      </c>
      <c r="AC32" s="27">
        <f t="shared" si="4"/>
        <v>0</v>
      </c>
      <c r="AD32" s="27">
        <f t="shared" si="4"/>
        <v>0</v>
      </c>
      <c r="AE32" s="27">
        <f t="shared" si="4"/>
        <v>0</v>
      </c>
      <c r="AF32" s="27">
        <f t="shared" si="4"/>
        <v>0</v>
      </c>
      <c r="AG32" s="27">
        <f t="shared" si="4"/>
        <v>0</v>
      </c>
      <c r="AH32" s="27">
        <f t="shared" si="4"/>
        <v>0</v>
      </c>
      <c r="AI32" s="27">
        <f t="shared" si="4"/>
        <v>0</v>
      </c>
      <c r="AJ32" s="27">
        <f aca="true" t="shared" si="5" ref="AJ32:BB32">AJ33*AJ29</f>
        <v>0</v>
      </c>
      <c r="AK32" s="27">
        <f t="shared" si="5"/>
        <v>0</v>
      </c>
      <c r="AL32" s="27">
        <f t="shared" si="5"/>
        <v>0</v>
      </c>
      <c r="AM32" s="27">
        <f t="shared" si="5"/>
        <v>0</v>
      </c>
      <c r="AN32" s="27">
        <f t="shared" si="5"/>
        <v>0</v>
      </c>
      <c r="AO32" s="27">
        <f t="shared" si="5"/>
        <v>0</v>
      </c>
      <c r="AP32" s="27">
        <f t="shared" si="5"/>
        <v>0</v>
      </c>
      <c r="AQ32" s="27">
        <f t="shared" si="5"/>
        <v>0</v>
      </c>
      <c r="AR32" s="27">
        <f t="shared" si="5"/>
        <v>0</v>
      </c>
      <c r="AS32" s="27">
        <f t="shared" si="5"/>
        <v>0</v>
      </c>
      <c r="AT32" s="27">
        <f t="shared" si="5"/>
        <v>0</v>
      </c>
      <c r="AU32" s="27">
        <f t="shared" si="5"/>
        <v>0</v>
      </c>
      <c r="AV32" s="27">
        <f t="shared" si="5"/>
        <v>0</v>
      </c>
      <c r="AW32" s="27">
        <f t="shared" si="5"/>
        <v>0</v>
      </c>
      <c r="AX32" s="27">
        <f t="shared" si="5"/>
        <v>0</v>
      </c>
      <c r="AY32" s="27">
        <f t="shared" si="5"/>
        <v>0</v>
      </c>
      <c r="AZ32" s="27">
        <f t="shared" si="5"/>
        <v>0</v>
      </c>
      <c r="BA32" s="27">
        <f t="shared" si="5"/>
        <v>0</v>
      </c>
      <c r="BB32" s="27">
        <f t="shared" si="5"/>
        <v>0</v>
      </c>
    </row>
    <row r="33" spans="1:54" ht="14.25" customHeight="1">
      <c r="A33" s="30" t="s">
        <v>25</v>
      </c>
      <c r="B33" s="28" t="s">
        <v>18</v>
      </c>
      <c r="C33" s="12">
        <f>C35+C36+C40+C42</f>
        <v>1995</v>
      </c>
      <c r="D33" s="49">
        <f aca="true" t="shared" si="6" ref="D33:I33">D35+D36+D41+D43+D51+D52</f>
        <v>3389.394852565853</v>
      </c>
      <c r="E33" s="49">
        <f t="shared" si="6"/>
        <v>84889.58179007293</v>
      </c>
      <c r="F33" s="49">
        <f t="shared" si="6"/>
        <v>84889.58179007293</v>
      </c>
      <c r="G33" s="49">
        <f t="shared" si="6"/>
        <v>84889.58179007295</v>
      </c>
      <c r="H33" s="49">
        <f t="shared" si="6"/>
        <v>84889.58179007295</v>
      </c>
      <c r="I33" s="49">
        <f t="shared" si="6"/>
        <v>84889.58179007295</v>
      </c>
      <c r="J33" s="49">
        <f aca="true" t="shared" si="7" ref="J33:X33">J35+J36+J41+J43</f>
        <v>0</v>
      </c>
      <c r="K33" s="49">
        <f t="shared" si="7"/>
        <v>0</v>
      </c>
      <c r="L33" s="49">
        <f t="shared" si="7"/>
        <v>0</v>
      </c>
      <c r="M33" s="49">
        <f t="shared" si="7"/>
        <v>0</v>
      </c>
      <c r="N33" s="49">
        <f t="shared" si="7"/>
        <v>0</v>
      </c>
      <c r="O33" s="49">
        <f t="shared" si="7"/>
        <v>0</v>
      </c>
      <c r="P33" s="49">
        <f t="shared" si="7"/>
        <v>0</v>
      </c>
      <c r="Q33" s="49">
        <f t="shared" si="7"/>
        <v>0</v>
      </c>
      <c r="R33" s="49">
        <f t="shared" si="7"/>
        <v>0</v>
      </c>
      <c r="S33" s="49">
        <f t="shared" si="7"/>
        <v>0</v>
      </c>
      <c r="T33" s="49">
        <f t="shared" si="7"/>
        <v>0</v>
      </c>
      <c r="U33" s="49">
        <f t="shared" si="7"/>
        <v>0</v>
      </c>
      <c r="V33" s="49">
        <f t="shared" si="7"/>
        <v>0</v>
      </c>
      <c r="W33" s="49">
        <f t="shared" si="7"/>
        <v>0</v>
      </c>
      <c r="X33" s="49">
        <f t="shared" si="7"/>
        <v>0</v>
      </c>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row>
    <row r="34" spans="1:3" ht="12.75">
      <c r="A34" s="13" t="s">
        <v>11</v>
      </c>
      <c r="C34" s="9"/>
    </row>
    <row r="35" spans="1:3" ht="12.75">
      <c r="A35" s="45" t="s">
        <v>59</v>
      </c>
      <c r="B35" s="46" t="s">
        <v>55</v>
      </c>
      <c r="C35" s="47">
        <f>E12</f>
        <v>230</v>
      </c>
    </row>
    <row r="36" spans="1:14" ht="12.75">
      <c r="A36" s="45" t="s">
        <v>58</v>
      </c>
      <c r="B36" s="46" t="s">
        <v>55</v>
      </c>
      <c r="C36" s="47">
        <f>E13</f>
        <v>65</v>
      </c>
      <c r="N36">
        <f>D36</f>
        <v>0</v>
      </c>
    </row>
    <row r="37" ht="12.75">
      <c r="C37" s="9"/>
    </row>
    <row r="38" ht="12.75">
      <c r="A38" s="13" t="s">
        <v>12</v>
      </c>
    </row>
    <row r="39" spans="1:3" ht="12.75">
      <c r="A39" t="s">
        <v>20</v>
      </c>
      <c r="B39" s="8" t="s">
        <v>6</v>
      </c>
      <c r="C39">
        <v>40</v>
      </c>
    </row>
    <row r="40" spans="1:3" ht="12.75">
      <c r="A40" s="45" t="s">
        <v>41</v>
      </c>
      <c r="B40" s="46" t="s">
        <v>55</v>
      </c>
      <c r="C40" s="45">
        <f>E14</f>
        <v>1200</v>
      </c>
    </row>
    <row r="41" spans="1:4" ht="12.75">
      <c r="A41" s="45" t="s">
        <v>56</v>
      </c>
      <c r="B41" s="46" t="s">
        <v>55</v>
      </c>
      <c r="C41" s="48">
        <f>C40*C46</f>
        <v>988.0217126703011</v>
      </c>
      <c r="D41" s="48"/>
    </row>
    <row r="42" spans="1:3" ht="12.75">
      <c r="A42" s="45" t="s">
        <v>57</v>
      </c>
      <c r="B42" s="46" t="s">
        <v>55</v>
      </c>
      <c r="C42" s="45">
        <f>E15*E8</f>
        <v>500</v>
      </c>
    </row>
    <row r="43" spans="1:4" ht="12.75">
      <c r="A43" s="45" t="s">
        <v>56</v>
      </c>
      <c r="B43" s="46" t="s">
        <v>55</v>
      </c>
      <c r="C43" s="48">
        <f>C42*C46</f>
        <v>411.67571361262543</v>
      </c>
      <c r="D43" s="48"/>
    </row>
    <row r="45" spans="1:3" ht="12.75">
      <c r="A45" s="11" t="s">
        <v>21</v>
      </c>
      <c r="B45" s="8" t="s">
        <v>18</v>
      </c>
      <c r="C45" s="24"/>
    </row>
    <row r="46" spans="1:3" ht="14.25" customHeight="1">
      <c r="A46" s="23" t="s">
        <v>24</v>
      </c>
      <c r="B46" s="22"/>
      <c r="C46" s="17">
        <f>(1-POWER(1+C29/100,-C28))/(1-POWER(1+C29/100,-C39))</f>
        <v>0.8233514272252509</v>
      </c>
    </row>
    <row r="47" spans="1:3" ht="12.75">
      <c r="A47" s="10"/>
      <c r="B47" s="8"/>
      <c r="C47" s="12"/>
    </row>
    <row r="48" spans="1:3" ht="12.75">
      <c r="A48" s="10"/>
      <c r="C48" s="12"/>
    </row>
    <row r="49" spans="1:3" ht="12.75">
      <c r="A49" s="14" t="s">
        <v>13</v>
      </c>
      <c r="C49" s="12"/>
    </row>
    <row r="50" spans="1:9" ht="12.75">
      <c r="A50" s="59" t="s">
        <v>78</v>
      </c>
      <c r="B50" s="60" t="s">
        <v>18</v>
      </c>
      <c r="C50" s="62">
        <f>'1 FinPlanas'!D33*0.2</f>
        <v>338939.4852565853</v>
      </c>
      <c r="D50" s="56"/>
      <c r="E50" s="56"/>
      <c r="F50" s="56"/>
      <c r="G50" s="56"/>
      <c r="H50" s="56"/>
      <c r="I50" s="56"/>
    </row>
    <row r="51" spans="1:9" ht="12.75">
      <c r="A51" s="59" t="s">
        <v>81</v>
      </c>
      <c r="B51" s="60" t="s">
        <v>18</v>
      </c>
      <c r="C51" s="62">
        <f>SUM(E51:I51)</f>
        <v>424447.90895036474</v>
      </c>
      <c r="D51" s="56"/>
      <c r="E51" s="57">
        <v>84889.58179007293</v>
      </c>
      <c r="F51" s="57">
        <v>84889.58179007293</v>
      </c>
      <c r="G51" s="57">
        <v>84889.58179007295</v>
      </c>
      <c r="H51" s="57">
        <v>84889.58179007295</v>
      </c>
      <c r="I51" s="57">
        <v>84889.58179007295</v>
      </c>
    </row>
    <row r="52" spans="1:9" ht="12" customHeight="1">
      <c r="A52" s="58" t="s">
        <v>80</v>
      </c>
      <c r="B52" s="60" t="s">
        <v>18</v>
      </c>
      <c r="C52" s="61"/>
      <c r="D52" s="57">
        <f>C50*0.01</f>
        <v>3389.394852565853</v>
      </c>
      <c r="E52" s="56"/>
      <c r="F52" s="56"/>
      <c r="G52" s="56"/>
      <c r="H52" s="56"/>
      <c r="I52" s="56"/>
    </row>
    <row r="53" spans="1:3" ht="12.75">
      <c r="A53" s="10"/>
      <c r="C53" s="12"/>
    </row>
    <row r="54" spans="4:54" ht="15" thickBot="1">
      <c r="D54" s="29" t="s">
        <v>5</v>
      </c>
      <c r="E54" s="29">
        <f aca="true" t="shared" si="8" ref="E54:AJ54">E31</f>
        <v>1</v>
      </c>
      <c r="F54" s="29">
        <f t="shared" si="8"/>
        <v>2</v>
      </c>
      <c r="G54" s="29">
        <f t="shared" si="8"/>
        <v>3</v>
      </c>
      <c r="H54" s="29">
        <f t="shared" si="8"/>
        <v>4</v>
      </c>
      <c r="I54" s="29">
        <f t="shared" si="8"/>
        <v>5</v>
      </c>
      <c r="J54" s="29">
        <f t="shared" si="8"/>
        <v>6</v>
      </c>
      <c r="K54" s="29">
        <f t="shared" si="8"/>
        <v>7</v>
      </c>
      <c r="L54" s="29">
        <f t="shared" si="8"/>
        <v>8</v>
      </c>
      <c r="M54" s="29">
        <f t="shared" si="8"/>
        <v>9</v>
      </c>
      <c r="N54" s="29">
        <f t="shared" si="8"/>
        <v>10</v>
      </c>
      <c r="O54" s="29">
        <f t="shared" si="8"/>
        <v>11</v>
      </c>
      <c r="P54" s="29">
        <f t="shared" si="8"/>
        <v>12</v>
      </c>
      <c r="Q54" s="29">
        <f t="shared" si="8"/>
        <v>13</v>
      </c>
      <c r="R54" s="29">
        <f t="shared" si="8"/>
        <v>14</v>
      </c>
      <c r="S54" s="29">
        <f t="shared" si="8"/>
        <v>15</v>
      </c>
      <c r="T54" s="29">
        <f t="shared" si="8"/>
        <v>16</v>
      </c>
      <c r="U54" s="29">
        <f t="shared" si="8"/>
        <v>17</v>
      </c>
      <c r="V54" s="29">
        <f t="shared" si="8"/>
        <v>18</v>
      </c>
      <c r="W54" s="29">
        <f t="shared" si="8"/>
        <v>19</v>
      </c>
      <c r="X54" s="29">
        <f t="shared" si="8"/>
        <v>20</v>
      </c>
      <c r="Y54" s="29">
        <f t="shared" si="8"/>
      </c>
      <c r="Z54" s="29">
        <f t="shared" si="8"/>
      </c>
      <c r="AA54" s="29">
        <f t="shared" si="8"/>
      </c>
      <c r="AB54" s="29">
        <f t="shared" si="8"/>
      </c>
      <c r="AC54" s="29">
        <f t="shared" si="8"/>
      </c>
      <c r="AD54" s="29">
        <f t="shared" si="8"/>
      </c>
      <c r="AE54" s="29">
        <f t="shared" si="8"/>
      </c>
      <c r="AF54" s="29">
        <f t="shared" si="8"/>
      </c>
      <c r="AG54" s="29">
        <f t="shared" si="8"/>
      </c>
      <c r="AH54" s="29">
        <f t="shared" si="8"/>
      </c>
      <c r="AI54" s="29">
        <f t="shared" si="8"/>
      </c>
      <c r="AJ54" s="29">
        <f t="shared" si="8"/>
      </c>
      <c r="AK54" s="29">
        <f aca="true" t="shared" si="9" ref="AK54:BB54">AK31</f>
      </c>
      <c r="AL54" s="29">
        <f t="shared" si="9"/>
      </c>
      <c r="AM54" s="29">
        <f t="shared" si="9"/>
      </c>
      <c r="AN54" s="29">
        <f t="shared" si="9"/>
      </c>
      <c r="AO54" s="29">
        <f t="shared" si="9"/>
      </c>
      <c r="AP54" s="29">
        <f t="shared" si="9"/>
      </c>
      <c r="AQ54" s="29">
        <f t="shared" si="9"/>
      </c>
      <c r="AR54" s="29">
        <f t="shared" si="9"/>
      </c>
      <c r="AS54" s="29">
        <f t="shared" si="9"/>
      </c>
      <c r="AT54" s="29">
        <f t="shared" si="9"/>
      </c>
      <c r="AU54" s="29">
        <f t="shared" si="9"/>
      </c>
      <c r="AV54" s="29">
        <f t="shared" si="9"/>
      </c>
      <c r="AW54" s="29">
        <f t="shared" si="9"/>
      </c>
      <c r="AX54" s="29">
        <f t="shared" si="9"/>
      </c>
      <c r="AY54" s="29">
        <f t="shared" si="9"/>
      </c>
      <c r="AZ54" s="29">
        <f t="shared" si="9"/>
      </c>
      <c r="BA54" s="29">
        <f t="shared" si="9"/>
      </c>
      <c r="BB54" s="29">
        <f t="shared" si="9"/>
      </c>
    </row>
    <row r="55" spans="1:54" ht="19.5" thickBot="1">
      <c r="A55" s="26" t="s">
        <v>16</v>
      </c>
      <c r="B55" s="22" t="s">
        <v>18</v>
      </c>
      <c r="C55" s="16">
        <f>SUM(E55:BB55)</f>
        <v>2091683.7980345578</v>
      </c>
      <c r="D55" s="2"/>
      <c r="E55" s="27">
        <f aca="true" t="shared" si="10" ref="E55:AJ55">E56*E29</f>
        <v>197261.68054575621</v>
      </c>
      <c r="F55" s="27">
        <f t="shared" si="10"/>
        <v>182649.70420903352</v>
      </c>
      <c r="G55" s="27">
        <f t="shared" si="10"/>
        <v>169120.09648984583</v>
      </c>
      <c r="H55" s="27">
        <f t="shared" si="10"/>
        <v>156592.68193504243</v>
      </c>
      <c r="I55" s="27">
        <f t="shared" si="10"/>
        <v>144993.22401392818</v>
      </c>
      <c r="J55" s="27">
        <f t="shared" si="10"/>
        <v>134252.98519808165</v>
      </c>
      <c r="K55" s="27">
        <f t="shared" si="10"/>
        <v>124308.31962785334</v>
      </c>
      <c r="L55" s="27">
        <f t="shared" si="10"/>
        <v>115100.29595171605</v>
      </c>
      <c r="M55" s="27">
        <f t="shared" si="10"/>
        <v>106574.34810344077</v>
      </c>
      <c r="N55" s="27">
        <f t="shared" si="10"/>
        <v>98679.95194763034</v>
      </c>
      <c r="O55" s="27">
        <f t="shared" si="10"/>
        <v>91370.32587743549</v>
      </c>
      <c r="P55" s="27">
        <f t="shared" si="10"/>
        <v>84602.15359021803</v>
      </c>
      <c r="Q55" s="27">
        <f t="shared" si="10"/>
        <v>78335.32739835004</v>
      </c>
      <c r="R55" s="27">
        <f t="shared" si="10"/>
        <v>72532.71055402781</v>
      </c>
      <c r="S55" s="27">
        <f t="shared" si="10"/>
        <v>67159.91717965539</v>
      </c>
      <c r="T55" s="27">
        <f t="shared" si="10"/>
        <v>62185.1084996809</v>
      </c>
      <c r="U55" s="27">
        <f t="shared" si="10"/>
        <v>57578.80416637119</v>
      </c>
      <c r="V55" s="27">
        <f t="shared" si="10"/>
        <v>53313.7075614548</v>
      </c>
      <c r="W55" s="27">
        <f t="shared" si="10"/>
        <v>49364.544038384076</v>
      </c>
      <c r="X55" s="27">
        <f t="shared" si="10"/>
        <v>45707.91114665192</v>
      </c>
      <c r="Y55" s="27">
        <f t="shared" si="10"/>
        <v>0</v>
      </c>
      <c r="Z55" s="27">
        <f t="shared" si="10"/>
        <v>0</v>
      </c>
      <c r="AA55" s="27">
        <f t="shared" si="10"/>
        <v>0</v>
      </c>
      <c r="AB55" s="27">
        <f t="shared" si="10"/>
        <v>0</v>
      </c>
      <c r="AC55" s="27">
        <f t="shared" si="10"/>
        <v>0</v>
      </c>
      <c r="AD55" s="27">
        <f t="shared" si="10"/>
        <v>0</v>
      </c>
      <c r="AE55" s="27">
        <f t="shared" si="10"/>
        <v>0</v>
      </c>
      <c r="AF55" s="27">
        <f t="shared" si="10"/>
        <v>0</v>
      </c>
      <c r="AG55" s="27">
        <f t="shared" si="10"/>
        <v>0</v>
      </c>
      <c r="AH55" s="27">
        <f t="shared" si="10"/>
        <v>0</v>
      </c>
      <c r="AI55" s="27">
        <f t="shared" si="10"/>
        <v>0</v>
      </c>
      <c r="AJ55" s="27">
        <f t="shared" si="10"/>
        <v>0</v>
      </c>
      <c r="AK55" s="27">
        <f aca="true" t="shared" si="11" ref="AK55:BB55">AK56*AK29</f>
        <v>0</v>
      </c>
      <c r="AL55" s="27">
        <f t="shared" si="11"/>
        <v>0</v>
      </c>
      <c r="AM55" s="27">
        <f t="shared" si="11"/>
        <v>0</v>
      </c>
      <c r="AN55" s="27">
        <f t="shared" si="11"/>
        <v>0</v>
      </c>
      <c r="AO55" s="27">
        <f t="shared" si="11"/>
        <v>0</v>
      </c>
      <c r="AP55" s="27">
        <f t="shared" si="11"/>
        <v>0</v>
      </c>
      <c r="AQ55" s="27">
        <f t="shared" si="11"/>
        <v>0</v>
      </c>
      <c r="AR55" s="27">
        <f t="shared" si="11"/>
        <v>0</v>
      </c>
      <c r="AS55" s="27">
        <f t="shared" si="11"/>
        <v>0</v>
      </c>
      <c r="AT55" s="27">
        <f t="shared" si="11"/>
        <v>0</v>
      </c>
      <c r="AU55" s="27">
        <f t="shared" si="11"/>
        <v>0</v>
      </c>
      <c r="AV55" s="27">
        <f t="shared" si="11"/>
        <v>0</v>
      </c>
      <c r="AW55" s="27">
        <f t="shared" si="11"/>
        <v>0</v>
      </c>
      <c r="AX55" s="27">
        <f t="shared" si="11"/>
        <v>0</v>
      </c>
      <c r="AY55" s="27">
        <f t="shared" si="11"/>
        <v>0</v>
      </c>
      <c r="AZ55" s="27">
        <f t="shared" si="11"/>
        <v>0</v>
      </c>
      <c r="BA55" s="27">
        <f t="shared" si="11"/>
        <v>0</v>
      </c>
      <c r="BB55" s="27">
        <f t="shared" si="11"/>
        <v>0</v>
      </c>
    </row>
    <row r="56" spans="1:54" ht="15.75" thickBot="1">
      <c r="A56" s="30" t="s">
        <v>26</v>
      </c>
      <c r="B56" s="8" t="s">
        <v>18</v>
      </c>
      <c r="C56" s="16">
        <f>SUM(E56:BB56)</f>
        <v>4260852.299788334</v>
      </c>
      <c r="E56" s="49">
        <f aca="true" t="shared" si="12" ref="E56:X56">E60+E64+E67</f>
        <v>213042.61498941673</v>
      </c>
      <c r="F56" s="49">
        <f t="shared" si="12"/>
        <v>213042.61498941673</v>
      </c>
      <c r="G56" s="49">
        <f t="shared" si="12"/>
        <v>213042.61498941673</v>
      </c>
      <c r="H56" s="49">
        <f t="shared" si="12"/>
        <v>213042.61498941673</v>
      </c>
      <c r="I56" s="49">
        <f t="shared" si="12"/>
        <v>213042.61498941673</v>
      </c>
      <c r="J56" s="49">
        <f t="shared" si="12"/>
        <v>213042.61498941673</v>
      </c>
      <c r="K56" s="49">
        <f t="shared" si="12"/>
        <v>213042.61498941673</v>
      </c>
      <c r="L56" s="49">
        <f t="shared" si="12"/>
        <v>213042.61498941673</v>
      </c>
      <c r="M56" s="49">
        <f t="shared" si="12"/>
        <v>213042.61498941673</v>
      </c>
      <c r="N56" s="49">
        <f t="shared" si="12"/>
        <v>213042.61498941673</v>
      </c>
      <c r="O56" s="49">
        <f t="shared" si="12"/>
        <v>213042.61498941673</v>
      </c>
      <c r="P56" s="49">
        <f t="shared" si="12"/>
        <v>213042.61498941673</v>
      </c>
      <c r="Q56" s="49">
        <f t="shared" si="12"/>
        <v>213042.61498941673</v>
      </c>
      <c r="R56" s="49">
        <f t="shared" si="12"/>
        <v>213042.61498941673</v>
      </c>
      <c r="S56" s="49">
        <f t="shared" si="12"/>
        <v>213042.61498941673</v>
      </c>
      <c r="T56" s="49">
        <f t="shared" si="12"/>
        <v>213042.61498941673</v>
      </c>
      <c r="U56" s="49">
        <f t="shared" si="12"/>
        <v>213042.61498941673</v>
      </c>
      <c r="V56" s="49">
        <f t="shared" si="12"/>
        <v>213042.61498941673</v>
      </c>
      <c r="W56" s="49">
        <f t="shared" si="12"/>
        <v>213042.61498941673</v>
      </c>
      <c r="X56" s="49">
        <f t="shared" si="12"/>
        <v>213042.61498941673</v>
      </c>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row>
    <row r="57" ht="12.75">
      <c r="A57" s="13" t="s">
        <v>14</v>
      </c>
    </row>
    <row r="58" spans="1:3" ht="12.75">
      <c r="A58" s="50" t="s">
        <v>65</v>
      </c>
      <c r="B58" s="46" t="s">
        <v>60</v>
      </c>
      <c r="C58" s="45">
        <f>(E8*E9*E10+E11*E8*12*51)/1000</f>
        <v>871.8</v>
      </c>
    </row>
    <row r="59" spans="1:3" ht="12.75">
      <c r="A59" s="50" t="s">
        <v>61</v>
      </c>
      <c r="B59" s="46" t="s">
        <v>62</v>
      </c>
      <c r="C59" s="52">
        <f>C58/(E19/100)*859845/E17/1000</f>
        <v>440.74133995766687</v>
      </c>
    </row>
    <row r="60" spans="1:24" ht="12.75">
      <c r="A60" s="50" t="s">
        <v>63</v>
      </c>
      <c r="B60" s="46" t="s">
        <v>64</v>
      </c>
      <c r="C60" s="53">
        <f>C59*E16</f>
        <v>110.18533498941672</v>
      </c>
      <c r="E60" s="51">
        <f>C60*1000</f>
        <v>110185.33498941672</v>
      </c>
      <c r="F60" s="48">
        <f aca="true" t="shared" si="13" ref="F60:X60">E60</f>
        <v>110185.33498941672</v>
      </c>
      <c r="G60" s="48">
        <f t="shared" si="13"/>
        <v>110185.33498941672</v>
      </c>
      <c r="H60" s="48">
        <f t="shared" si="13"/>
        <v>110185.33498941672</v>
      </c>
      <c r="I60" s="48">
        <f t="shared" si="13"/>
        <v>110185.33498941672</v>
      </c>
      <c r="J60" s="48">
        <f t="shared" si="13"/>
        <v>110185.33498941672</v>
      </c>
      <c r="K60" s="48">
        <f t="shared" si="13"/>
        <v>110185.33498941672</v>
      </c>
      <c r="L60" s="48">
        <f t="shared" si="13"/>
        <v>110185.33498941672</v>
      </c>
      <c r="M60" s="48">
        <f t="shared" si="13"/>
        <v>110185.33498941672</v>
      </c>
      <c r="N60" s="48">
        <f t="shared" si="13"/>
        <v>110185.33498941672</v>
      </c>
      <c r="O60" s="48">
        <f t="shared" si="13"/>
        <v>110185.33498941672</v>
      </c>
      <c r="P60" s="48">
        <f t="shared" si="13"/>
        <v>110185.33498941672</v>
      </c>
      <c r="Q60" s="48">
        <f t="shared" si="13"/>
        <v>110185.33498941672</v>
      </c>
      <c r="R60" s="48">
        <f t="shared" si="13"/>
        <v>110185.33498941672</v>
      </c>
      <c r="S60" s="48">
        <f t="shared" si="13"/>
        <v>110185.33498941672</v>
      </c>
      <c r="T60" s="48">
        <f t="shared" si="13"/>
        <v>110185.33498941672</v>
      </c>
      <c r="U60" s="48">
        <f t="shared" si="13"/>
        <v>110185.33498941672</v>
      </c>
      <c r="V60" s="48">
        <f t="shared" si="13"/>
        <v>110185.33498941672</v>
      </c>
      <c r="W60" s="48">
        <f t="shared" si="13"/>
        <v>110185.33498941672</v>
      </c>
      <c r="X60" s="48">
        <f t="shared" si="13"/>
        <v>110185.33498941672</v>
      </c>
    </row>
    <row r="62" ht="12.75">
      <c r="A62" s="13" t="s">
        <v>15</v>
      </c>
    </row>
    <row r="63" spans="1:3" ht="12.75">
      <c r="A63" s="50" t="s">
        <v>66</v>
      </c>
      <c r="B63" s="46" t="s">
        <v>67</v>
      </c>
      <c r="C63" s="45">
        <f>E20*365*24</f>
        <v>17520</v>
      </c>
    </row>
    <row r="64" spans="1:24" ht="12.75">
      <c r="A64" s="50" t="s">
        <v>68</v>
      </c>
      <c r="B64" s="46" t="s">
        <v>69</v>
      </c>
      <c r="C64" s="45">
        <f>C63*E21/100</f>
        <v>6377.28</v>
      </c>
      <c r="E64">
        <f>C64</f>
        <v>6377.28</v>
      </c>
      <c r="F64">
        <f aca="true" t="shared" si="14" ref="F64:X64">E64</f>
        <v>6377.28</v>
      </c>
      <c r="G64">
        <f t="shared" si="14"/>
        <v>6377.28</v>
      </c>
      <c r="H64">
        <f t="shared" si="14"/>
        <v>6377.28</v>
      </c>
      <c r="I64">
        <f t="shared" si="14"/>
        <v>6377.28</v>
      </c>
      <c r="J64">
        <f t="shared" si="14"/>
        <v>6377.28</v>
      </c>
      <c r="K64">
        <f t="shared" si="14"/>
        <v>6377.28</v>
      </c>
      <c r="L64">
        <f t="shared" si="14"/>
        <v>6377.28</v>
      </c>
      <c r="M64">
        <f t="shared" si="14"/>
        <v>6377.28</v>
      </c>
      <c r="N64">
        <f t="shared" si="14"/>
        <v>6377.28</v>
      </c>
      <c r="O64">
        <f t="shared" si="14"/>
        <v>6377.28</v>
      </c>
      <c r="P64">
        <f t="shared" si="14"/>
        <v>6377.28</v>
      </c>
      <c r="Q64">
        <f t="shared" si="14"/>
        <v>6377.28</v>
      </c>
      <c r="R64">
        <f t="shared" si="14"/>
        <v>6377.28</v>
      </c>
      <c r="S64">
        <f t="shared" si="14"/>
        <v>6377.28</v>
      </c>
      <c r="T64">
        <f t="shared" si="14"/>
        <v>6377.28</v>
      </c>
      <c r="U64">
        <f t="shared" si="14"/>
        <v>6377.28</v>
      </c>
      <c r="V64">
        <f t="shared" si="14"/>
        <v>6377.28</v>
      </c>
      <c r="W64">
        <f t="shared" si="14"/>
        <v>6377.28</v>
      </c>
      <c r="X64">
        <f t="shared" si="14"/>
        <v>6377.28</v>
      </c>
    </row>
    <row r="66" ht="12.75">
      <c r="A66" s="13" t="s">
        <v>19</v>
      </c>
    </row>
    <row r="67" spans="1:24" ht="12.75">
      <c r="A67" s="50" t="s">
        <v>70</v>
      </c>
      <c r="B67" s="46" t="s">
        <v>69</v>
      </c>
      <c r="C67" s="45">
        <f>E22*1.34*12*4</f>
        <v>96480.00000000001</v>
      </c>
      <c r="E67">
        <f>C67</f>
        <v>96480.00000000001</v>
      </c>
      <c r="F67">
        <f aca="true" t="shared" si="15" ref="F67:X67">E67</f>
        <v>96480.00000000001</v>
      </c>
      <c r="G67">
        <f t="shared" si="15"/>
        <v>96480.00000000001</v>
      </c>
      <c r="H67">
        <f t="shared" si="15"/>
        <v>96480.00000000001</v>
      </c>
      <c r="I67">
        <f t="shared" si="15"/>
        <v>96480.00000000001</v>
      </c>
      <c r="J67">
        <f t="shared" si="15"/>
        <v>96480.00000000001</v>
      </c>
      <c r="K67">
        <f t="shared" si="15"/>
        <v>96480.00000000001</v>
      </c>
      <c r="L67">
        <f t="shared" si="15"/>
        <v>96480.00000000001</v>
      </c>
      <c r="M67">
        <f t="shared" si="15"/>
        <v>96480.00000000001</v>
      </c>
      <c r="N67">
        <f t="shared" si="15"/>
        <v>96480.00000000001</v>
      </c>
      <c r="O67">
        <f t="shared" si="15"/>
        <v>96480.00000000001</v>
      </c>
      <c r="P67">
        <f t="shared" si="15"/>
        <v>96480.00000000001</v>
      </c>
      <c r="Q67">
        <f t="shared" si="15"/>
        <v>96480.00000000001</v>
      </c>
      <c r="R67">
        <f t="shared" si="15"/>
        <v>96480.00000000001</v>
      </c>
      <c r="S67">
        <f t="shared" si="15"/>
        <v>96480.00000000001</v>
      </c>
      <c r="T67">
        <f t="shared" si="15"/>
        <v>96480.00000000001</v>
      </c>
      <c r="U67">
        <f t="shared" si="15"/>
        <v>96480.00000000001</v>
      </c>
      <c r="V67">
        <f t="shared" si="15"/>
        <v>96480.00000000001</v>
      </c>
      <c r="W67">
        <f t="shared" si="15"/>
        <v>96480.00000000001</v>
      </c>
      <c r="X67">
        <f t="shared" si="15"/>
        <v>96480.00000000001</v>
      </c>
    </row>
    <row r="69" ht="12.75">
      <c r="A69" s="13" t="s">
        <v>17</v>
      </c>
    </row>
    <row r="70" ht="12.75">
      <c r="A70" s="6"/>
    </row>
    <row r="71" ht="12.75">
      <c r="A71" s="6"/>
    </row>
    <row r="72" ht="13.5" thickBot="1"/>
    <row r="73" spans="1:3" ht="15.75" thickBot="1">
      <c r="A73" s="20" t="s">
        <v>27</v>
      </c>
      <c r="B73" s="18" t="s">
        <v>7</v>
      </c>
      <c r="C73" s="16">
        <f>C58*1000</f>
        <v>871800</v>
      </c>
    </row>
    <row r="74" spans="1:3" ht="12.75">
      <c r="A74" s="7"/>
      <c r="B74" s="8"/>
      <c r="C74" s="3"/>
    </row>
    <row r="75" spans="1:3" ht="12.75">
      <c r="A75" s="7"/>
      <c r="B75" s="8"/>
      <c r="C75" s="3"/>
    </row>
    <row r="76" spans="1:3" ht="12.75">
      <c r="A76" s="7"/>
      <c r="B76" s="8"/>
      <c r="C76" s="3"/>
    </row>
    <row r="77" spans="1:3" ht="12.75">
      <c r="A77" s="7"/>
      <c r="B77" s="8"/>
      <c r="C77" s="3"/>
    </row>
    <row r="78" ht="13.5" thickBot="1"/>
    <row r="79" spans="1:3" ht="17.25" thickBot="1" thickTop="1">
      <c r="A79" s="38" t="s">
        <v>8</v>
      </c>
      <c r="B79" s="39" t="s">
        <v>9</v>
      </c>
      <c r="C79" s="63">
        <f>IF(C73&gt;0,C31*100/C73*C29/100/(1-POWER(1+C29/100,-C28)),"")</f>
        <v>28.436518418500697</v>
      </c>
    </row>
    <row r="80" ht="13.5" thickTop="1"/>
  </sheetData>
  <sheetProtection/>
  <mergeCells count="20">
    <mergeCell ref="A20:C20"/>
    <mergeCell ref="A23:C23"/>
    <mergeCell ref="A18:C18"/>
    <mergeCell ref="A19:C19"/>
    <mergeCell ref="A9:C9"/>
    <mergeCell ref="A10:C10"/>
    <mergeCell ref="A11:C11"/>
    <mergeCell ref="A12:C12"/>
    <mergeCell ref="A14:C14"/>
    <mergeCell ref="A15:C15"/>
    <mergeCell ref="A2:E2"/>
    <mergeCell ref="A1:E1"/>
    <mergeCell ref="A21:C21"/>
    <mergeCell ref="A22:C22"/>
    <mergeCell ref="A13:C13"/>
    <mergeCell ref="A6:I6"/>
    <mergeCell ref="A7:C7"/>
    <mergeCell ref="A8:C8"/>
    <mergeCell ref="A16:C16"/>
    <mergeCell ref="A17:C17"/>
  </mergeCells>
  <printOptions gridLines="1"/>
  <pageMargins left="0.99" right="0.45" top="0.73" bottom="0.65" header="0.5" footer="0.5"/>
  <pageSetup fitToHeight="1" fitToWidth="1" horizontalDpi="200" verticalDpi="200" orientation="portrait" scale="58"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BB79"/>
  <sheetViews>
    <sheetView zoomScalePageLayoutView="0" workbookViewId="0" topLeftCell="A54">
      <selection activeCell="C79" sqref="C79"/>
    </sheetView>
  </sheetViews>
  <sheetFormatPr defaultColWidth="9.140625" defaultRowHeight="12.75"/>
  <cols>
    <col min="1" max="1" width="53.00390625" style="0" customWidth="1"/>
    <col min="2" max="2" width="14.140625" style="0" customWidth="1"/>
    <col min="3" max="3" width="11.28125" style="0" customWidth="1"/>
    <col min="4" max="4" width="14.57421875" style="0" customWidth="1"/>
    <col min="5" max="5" width="10.57421875" style="0" bestFit="1" customWidth="1"/>
    <col min="6" max="6" width="10.7109375" style="0" bestFit="1" customWidth="1"/>
    <col min="7" max="7" width="10.28125" style="0" customWidth="1"/>
    <col min="8" max="8" width="10.140625" style="0" customWidth="1"/>
    <col min="9" max="24" width="9.57421875" style="0" bestFit="1" customWidth="1"/>
  </cols>
  <sheetData>
    <row r="1" spans="1:5" ht="24" customHeight="1">
      <c r="A1" s="66" t="s">
        <v>29</v>
      </c>
      <c r="B1" s="67"/>
      <c r="C1" s="65"/>
      <c r="D1" s="65"/>
      <c r="E1" s="65"/>
    </row>
    <row r="2" spans="1:5" ht="24" customHeight="1">
      <c r="A2" s="64" t="s">
        <v>30</v>
      </c>
      <c r="B2" s="65"/>
      <c r="C2" s="65"/>
      <c r="D2" s="65"/>
      <c r="E2" s="65"/>
    </row>
    <row r="3" spans="1:5" ht="24" customHeight="1">
      <c r="A3" s="54" t="s">
        <v>77</v>
      </c>
      <c r="B3" s="55"/>
      <c r="C3" s="55"/>
      <c r="D3" s="55"/>
      <c r="E3" s="55"/>
    </row>
    <row r="4" spans="1:5" ht="12" customHeight="1">
      <c r="A4" s="5"/>
      <c r="B4" s="2"/>
      <c r="C4" s="2"/>
      <c r="D4" s="2"/>
      <c r="E4" s="2"/>
    </row>
    <row r="5" spans="1:5" ht="12" customHeight="1" thickBot="1">
      <c r="A5" s="25" t="s">
        <v>4</v>
      </c>
      <c r="B5" s="2"/>
      <c r="C5" s="2"/>
      <c r="D5" s="2"/>
      <c r="E5" s="2"/>
    </row>
    <row r="6" spans="1:9" ht="72.75" customHeight="1" thickBot="1">
      <c r="A6" s="72" t="s">
        <v>39</v>
      </c>
      <c r="B6" s="73"/>
      <c r="C6" s="73"/>
      <c r="D6" s="73"/>
      <c r="E6" s="73"/>
      <c r="F6" s="73"/>
      <c r="G6" s="73"/>
      <c r="H6" s="73"/>
      <c r="I6" s="74"/>
    </row>
    <row r="7" spans="1:9" ht="15" customHeight="1" thickBot="1">
      <c r="A7" s="75" t="s">
        <v>28</v>
      </c>
      <c r="B7" s="76"/>
      <c r="C7" s="77"/>
      <c r="D7" s="36" t="s">
        <v>1</v>
      </c>
      <c r="E7" s="33"/>
      <c r="F7" s="33"/>
      <c r="G7" s="33"/>
      <c r="H7" s="33"/>
      <c r="I7" s="33"/>
    </row>
    <row r="8" spans="1:11" ht="15" customHeight="1" thickTop="1">
      <c r="A8" s="78" t="s">
        <v>31</v>
      </c>
      <c r="B8" s="79"/>
      <c r="C8" s="80"/>
      <c r="D8" s="34" t="s">
        <v>32</v>
      </c>
      <c r="E8" s="43">
        <v>50</v>
      </c>
      <c r="F8" s="33"/>
      <c r="G8" s="43"/>
      <c r="H8" s="33"/>
      <c r="I8" s="33"/>
      <c r="J8" s="33"/>
      <c r="K8" s="33"/>
    </row>
    <row r="9" spans="1:11" ht="15" customHeight="1">
      <c r="A9" s="68" t="s">
        <v>33</v>
      </c>
      <c r="B9" s="69"/>
      <c r="C9" s="70"/>
      <c r="D9" s="34" t="s">
        <v>34</v>
      </c>
      <c r="E9" s="43">
        <v>120</v>
      </c>
      <c r="F9" s="33"/>
      <c r="G9" s="43"/>
      <c r="H9" s="33"/>
      <c r="I9" s="33"/>
      <c r="J9" s="33"/>
      <c r="K9" s="33"/>
    </row>
    <row r="10" spans="1:11" ht="15" customHeight="1">
      <c r="A10" s="81" t="s">
        <v>35</v>
      </c>
      <c r="B10" s="82"/>
      <c r="C10" s="83"/>
      <c r="D10" s="34" t="s">
        <v>36</v>
      </c>
      <c r="E10" s="43">
        <v>130</v>
      </c>
      <c r="F10" s="33"/>
      <c r="G10" s="43"/>
      <c r="H10" s="33"/>
      <c r="I10" s="33"/>
      <c r="J10" s="33"/>
      <c r="K10" s="33"/>
    </row>
    <row r="11" spans="1:11" ht="15" customHeight="1">
      <c r="A11" s="82" t="s">
        <v>37</v>
      </c>
      <c r="B11" s="82"/>
      <c r="C11" s="83"/>
      <c r="D11" s="34" t="s">
        <v>38</v>
      </c>
      <c r="E11" s="43">
        <v>3</v>
      </c>
      <c r="F11" s="33"/>
      <c r="G11" s="43"/>
      <c r="H11" s="33"/>
      <c r="I11" s="33"/>
      <c r="J11" s="33"/>
      <c r="K11" s="33"/>
    </row>
    <row r="12" spans="1:9" ht="15" customHeight="1">
      <c r="A12" s="68" t="s">
        <v>71</v>
      </c>
      <c r="B12" s="69"/>
      <c r="C12" s="70"/>
      <c r="D12" s="34" t="s">
        <v>40</v>
      </c>
      <c r="E12" s="43">
        <v>230</v>
      </c>
      <c r="F12" s="33"/>
      <c r="G12" s="33"/>
      <c r="H12" s="33"/>
      <c r="I12" s="33"/>
    </row>
    <row r="13" spans="1:9" ht="15" customHeight="1">
      <c r="A13" s="68" t="s">
        <v>72</v>
      </c>
      <c r="B13" s="71"/>
      <c r="C13" s="70"/>
      <c r="D13" s="34" t="s">
        <v>55</v>
      </c>
      <c r="E13" s="43">
        <v>65</v>
      </c>
      <c r="F13" s="33"/>
      <c r="G13" s="33"/>
      <c r="H13" s="33"/>
      <c r="I13" s="33"/>
    </row>
    <row r="14" spans="1:9" ht="15" customHeight="1">
      <c r="A14" s="68" t="s">
        <v>41</v>
      </c>
      <c r="B14" s="69"/>
      <c r="C14" s="70"/>
      <c r="D14" s="34" t="s">
        <v>40</v>
      </c>
      <c r="E14" s="43">
        <v>1200</v>
      </c>
      <c r="F14" s="33"/>
      <c r="G14" s="33"/>
      <c r="H14" s="33"/>
      <c r="I14" s="33"/>
    </row>
    <row r="15" spans="1:9" ht="15" customHeight="1">
      <c r="A15" s="68" t="s">
        <v>42</v>
      </c>
      <c r="B15" s="69"/>
      <c r="C15" s="70"/>
      <c r="D15" s="34" t="s">
        <v>40</v>
      </c>
      <c r="E15" s="43">
        <v>10</v>
      </c>
      <c r="F15" s="33"/>
      <c r="G15" s="33"/>
      <c r="H15" s="33"/>
      <c r="I15" s="33"/>
    </row>
    <row r="16" spans="1:9" ht="15" customHeight="1">
      <c r="A16" s="68" t="s">
        <v>43</v>
      </c>
      <c r="B16" s="69"/>
      <c r="C16" s="70"/>
      <c r="D16" s="34" t="s">
        <v>47</v>
      </c>
      <c r="E16" s="43">
        <f>0.25</f>
        <v>0.25</v>
      </c>
      <c r="F16" s="33"/>
      <c r="G16" s="33"/>
      <c r="H16" s="33"/>
      <c r="I16" s="33"/>
    </row>
    <row r="17" spans="1:9" ht="15" customHeight="1">
      <c r="A17" s="68" t="s">
        <v>44</v>
      </c>
      <c r="B17" s="71"/>
      <c r="C17" s="70"/>
      <c r="D17" s="34" t="s">
        <v>48</v>
      </c>
      <c r="E17" s="43">
        <v>2126</v>
      </c>
      <c r="F17" s="33"/>
      <c r="G17" s="33"/>
      <c r="H17" s="33"/>
      <c r="I17" s="33"/>
    </row>
    <row r="18" spans="1:9" ht="15" customHeight="1">
      <c r="A18" s="68" t="s">
        <v>45</v>
      </c>
      <c r="B18" s="69"/>
      <c r="C18" s="70"/>
      <c r="D18" s="34" t="s">
        <v>49</v>
      </c>
      <c r="E18" s="44">
        <v>10</v>
      </c>
      <c r="F18" s="33"/>
      <c r="G18" s="33"/>
      <c r="H18" s="33"/>
      <c r="I18" s="33"/>
    </row>
    <row r="19" spans="1:9" ht="15" customHeight="1">
      <c r="A19" s="68" t="s">
        <v>46</v>
      </c>
      <c r="B19" s="71"/>
      <c r="C19" s="70"/>
      <c r="D19" s="34" t="s">
        <v>3</v>
      </c>
      <c r="E19" s="43">
        <v>80</v>
      </c>
      <c r="F19" s="33"/>
      <c r="G19" s="33"/>
      <c r="H19" s="33"/>
      <c r="I19" s="33"/>
    </row>
    <row r="20" spans="1:9" ht="15" customHeight="1">
      <c r="A20" s="68" t="s">
        <v>50</v>
      </c>
      <c r="B20" s="69"/>
      <c r="C20" s="70"/>
      <c r="D20" s="34" t="s">
        <v>53</v>
      </c>
      <c r="E20" s="43">
        <v>2</v>
      </c>
      <c r="F20" s="33"/>
      <c r="G20" s="33"/>
      <c r="H20" s="33"/>
      <c r="I20" s="33"/>
    </row>
    <row r="21" spans="1:9" ht="15" customHeight="1">
      <c r="A21" s="68" t="s">
        <v>51</v>
      </c>
      <c r="B21" s="69"/>
      <c r="C21" s="70"/>
      <c r="D21" s="34" t="s">
        <v>9</v>
      </c>
      <c r="E21" s="43">
        <v>36.4</v>
      </c>
      <c r="F21" s="33"/>
      <c r="G21" s="33"/>
      <c r="H21" s="33"/>
      <c r="I21" s="33"/>
    </row>
    <row r="22" spans="1:9" ht="15" customHeight="1">
      <c r="A22" s="68" t="s">
        <v>52</v>
      </c>
      <c r="B22" s="69"/>
      <c r="C22" s="70"/>
      <c r="D22" s="34" t="s">
        <v>54</v>
      </c>
      <c r="E22" s="43">
        <v>1500</v>
      </c>
      <c r="F22" s="33"/>
      <c r="G22" s="33"/>
      <c r="H22" s="33"/>
      <c r="I22" s="33"/>
    </row>
    <row r="23" spans="1:9" ht="15" customHeight="1" thickBot="1">
      <c r="A23" s="84"/>
      <c r="B23" s="85"/>
      <c r="C23" s="86"/>
      <c r="D23" s="33"/>
      <c r="E23" s="33"/>
      <c r="F23" s="33"/>
      <c r="G23" s="33"/>
      <c r="H23" s="33"/>
      <c r="I23" s="33"/>
    </row>
    <row r="24" spans="1:9" ht="15" customHeight="1">
      <c r="A24" s="32"/>
      <c r="B24" s="37"/>
      <c r="C24" s="37"/>
      <c r="D24" s="33"/>
      <c r="E24" s="33"/>
      <c r="F24" s="33"/>
      <c r="G24" s="33"/>
      <c r="H24" s="33"/>
      <c r="I24" s="33"/>
    </row>
    <row r="25" spans="1:9" ht="15" customHeight="1">
      <c r="A25" s="32"/>
      <c r="B25" s="33"/>
      <c r="C25" s="33"/>
      <c r="D25" s="33"/>
      <c r="E25" s="33"/>
      <c r="F25" s="33"/>
      <c r="G25" s="33"/>
      <c r="H25" s="33"/>
      <c r="I25" s="33"/>
    </row>
    <row r="26" spans="1:5" ht="15" customHeight="1" thickBot="1">
      <c r="A26" s="1"/>
      <c r="B26" s="2"/>
      <c r="C26" s="2"/>
      <c r="D26" s="2"/>
      <c r="E26" s="2"/>
    </row>
    <row r="27" spans="1:3" ht="14.25" thickBot="1" thickTop="1">
      <c r="A27" s="35" t="s">
        <v>0</v>
      </c>
      <c r="B27" s="4" t="s">
        <v>1</v>
      </c>
      <c r="C27" s="3"/>
    </row>
    <row r="28" spans="1:3" ht="25.5" customHeight="1" thickTop="1">
      <c r="A28" s="19" t="s">
        <v>23</v>
      </c>
      <c r="B28" s="40" t="s">
        <v>6</v>
      </c>
      <c r="C28" s="41">
        <v>20</v>
      </c>
    </row>
    <row r="29" spans="1:54" ht="15" thickBot="1">
      <c r="A29" s="17" t="s">
        <v>2</v>
      </c>
      <c r="B29" s="40" t="s">
        <v>3</v>
      </c>
      <c r="C29" s="42">
        <v>8</v>
      </c>
      <c r="D29" s="15">
        <v>1</v>
      </c>
      <c r="E29" s="15">
        <f>1/(1+C29/100)</f>
        <v>0.9259259259259258</v>
      </c>
      <c r="F29" s="15">
        <f>E29/(1+$C29/100)</f>
        <v>0.8573388203017831</v>
      </c>
      <c r="G29" s="15">
        <f>F29/(1+$C29/100)</f>
        <v>0.7938322410201695</v>
      </c>
      <c r="H29" s="15">
        <f aca="true" t="shared" si="0" ref="H29:BB29">G29/(1+$C29/100)</f>
        <v>0.7350298527964532</v>
      </c>
      <c r="I29" s="15">
        <f>H29/(1+$C29/100)</f>
        <v>0.6805831970337529</v>
      </c>
      <c r="J29" s="15">
        <f t="shared" si="0"/>
        <v>0.6301696268831045</v>
      </c>
      <c r="K29" s="15">
        <f>J29/(1+$C29/100)</f>
        <v>0.5834903952621338</v>
      </c>
      <c r="L29" s="15">
        <f t="shared" si="0"/>
        <v>0.5402688845019756</v>
      </c>
      <c r="M29" s="15">
        <f t="shared" si="0"/>
        <v>0.5002489671314588</v>
      </c>
      <c r="N29" s="15">
        <f t="shared" si="0"/>
        <v>0.4631934880846841</v>
      </c>
      <c r="O29" s="15">
        <f t="shared" si="0"/>
        <v>0.4288828593376704</v>
      </c>
      <c r="P29" s="15">
        <f t="shared" si="0"/>
        <v>0.3971137586459911</v>
      </c>
      <c r="Q29" s="15">
        <f t="shared" si="0"/>
        <v>0.36769792467221396</v>
      </c>
      <c r="R29" s="15">
        <f t="shared" si="0"/>
        <v>0.3404610413631611</v>
      </c>
      <c r="S29" s="15">
        <f t="shared" si="0"/>
        <v>0.3152417049658899</v>
      </c>
      <c r="T29" s="15">
        <f t="shared" si="0"/>
        <v>0.2918904675610091</v>
      </c>
      <c r="U29" s="15">
        <f t="shared" si="0"/>
        <v>0.27026895144537877</v>
      </c>
      <c r="V29" s="15">
        <f t="shared" si="0"/>
        <v>0.2502490291160914</v>
      </c>
      <c r="W29" s="15">
        <f t="shared" si="0"/>
        <v>0.23171206399638095</v>
      </c>
      <c r="X29" s="15">
        <f t="shared" si="0"/>
        <v>0.21454820740405642</v>
      </c>
      <c r="Y29" s="15">
        <f t="shared" si="0"/>
        <v>0.19865574759634852</v>
      </c>
      <c r="Z29" s="15">
        <f t="shared" si="0"/>
        <v>0.18394050703365603</v>
      </c>
      <c r="AA29" s="15">
        <f t="shared" si="0"/>
        <v>0.17031528429042223</v>
      </c>
      <c r="AB29" s="15">
        <f t="shared" si="0"/>
        <v>0.15769933730594649</v>
      </c>
      <c r="AC29" s="15">
        <f t="shared" si="0"/>
        <v>0.14601790491291342</v>
      </c>
      <c r="AD29" s="15">
        <f t="shared" si="0"/>
        <v>0.13520176380825316</v>
      </c>
      <c r="AE29" s="15">
        <f t="shared" si="0"/>
        <v>0.12518681834097514</v>
      </c>
      <c r="AF29" s="15">
        <f t="shared" si="0"/>
        <v>0.11591372068608809</v>
      </c>
      <c r="AG29" s="15">
        <f t="shared" si="0"/>
        <v>0.10732751915378526</v>
      </c>
      <c r="AH29" s="15">
        <f t="shared" si="0"/>
        <v>0.09937733254980116</v>
      </c>
      <c r="AI29" s="15">
        <f t="shared" si="0"/>
        <v>0.09201604865722329</v>
      </c>
      <c r="AJ29" s="15">
        <f t="shared" si="0"/>
        <v>0.08520004505298452</v>
      </c>
      <c r="AK29" s="15">
        <f t="shared" si="0"/>
        <v>0.0788889306046153</v>
      </c>
      <c r="AL29" s="15">
        <f t="shared" si="0"/>
        <v>0.07304530611538453</v>
      </c>
      <c r="AM29" s="15">
        <f t="shared" si="0"/>
        <v>0.06763454269943012</v>
      </c>
      <c r="AN29" s="15">
        <f t="shared" si="0"/>
        <v>0.0626245765735464</v>
      </c>
      <c r="AO29" s="15">
        <f t="shared" si="0"/>
        <v>0.057985719049580005</v>
      </c>
      <c r="AP29" s="15">
        <f t="shared" si="0"/>
        <v>0.05369048060146296</v>
      </c>
      <c r="AQ29" s="15">
        <f t="shared" si="0"/>
        <v>0.04971340796431755</v>
      </c>
      <c r="AR29" s="15">
        <f t="shared" si="0"/>
        <v>0.04603093330029402</v>
      </c>
      <c r="AS29" s="15">
        <f t="shared" si="0"/>
        <v>0.042621234537309274</v>
      </c>
      <c r="AT29" s="15">
        <f t="shared" si="0"/>
        <v>0.03946410605306414</v>
      </c>
      <c r="AU29" s="15">
        <f t="shared" si="0"/>
        <v>0.03654083893802235</v>
      </c>
      <c r="AV29" s="15">
        <f t="shared" si="0"/>
        <v>0.033834110127798474</v>
      </c>
      <c r="AW29" s="15">
        <f t="shared" si="0"/>
        <v>0.03132787974796155</v>
      </c>
      <c r="AX29" s="15">
        <f t="shared" si="0"/>
        <v>0.02900729606292736</v>
      </c>
      <c r="AY29" s="15">
        <f t="shared" si="0"/>
        <v>0.02685860746567348</v>
      </c>
      <c r="AZ29" s="15">
        <f t="shared" si="0"/>
        <v>0.0248690809867347</v>
      </c>
      <c r="BA29" s="15">
        <f t="shared" si="0"/>
        <v>0.023026926839569164</v>
      </c>
      <c r="BB29" s="15">
        <f t="shared" si="0"/>
        <v>0.02132122855515663</v>
      </c>
    </row>
    <row r="30" ht="15" thickBot="1">
      <c r="D30" s="29" t="s">
        <v>5</v>
      </c>
    </row>
    <row r="31" spans="1:54" ht="15.75" thickBot="1">
      <c r="A31" s="20" t="s">
        <v>22</v>
      </c>
      <c r="B31" s="18" t="s">
        <v>18</v>
      </c>
      <c r="C31" s="16">
        <f>C32+C55</f>
        <v>2457540.855183419</v>
      </c>
      <c r="D31" s="29">
        <v>0</v>
      </c>
      <c r="E31" s="29">
        <f>IF(D31&lt;$C28,D31+1,"")</f>
        <v>1</v>
      </c>
      <c r="F31" s="29">
        <f aca="true" t="shared" si="1" ref="F31:BB31">IF(E31&lt;$C28,E31+1,"")</f>
        <v>2</v>
      </c>
      <c r="G31" s="29">
        <f t="shared" si="1"/>
        <v>3</v>
      </c>
      <c r="H31" s="29">
        <f t="shared" si="1"/>
        <v>4</v>
      </c>
      <c r="I31" s="29">
        <f t="shared" si="1"/>
        <v>5</v>
      </c>
      <c r="J31" s="29">
        <f t="shared" si="1"/>
        <v>6</v>
      </c>
      <c r="K31" s="29">
        <f t="shared" si="1"/>
        <v>7</v>
      </c>
      <c r="L31" s="29">
        <f t="shared" si="1"/>
        <v>8</v>
      </c>
      <c r="M31" s="29">
        <f t="shared" si="1"/>
        <v>9</v>
      </c>
      <c r="N31" s="29">
        <f t="shared" si="1"/>
        <v>10</v>
      </c>
      <c r="O31" s="29">
        <f t="shared" si="1"/>
        <v>11</v>
      </c>
      <c r="P31" s="29">
        <f t="shared" si="1"/>
        <v>12</v>
      </c>
      <c r="Q31" s="29">
        <f t="shared" si="1"/>
        <v>13</v>
      </c>
      <c r="R31" s="29">
        <f t="shared" si="1"/>
        <v>14</v>
      </c>
      <c r="S31" s="29">
        <f t="shared" si="1"/>
        <v>15</v>
      </c>
      <c r="T31" s="29">
        <f t="shared" si="1"/>
        <v>16</v>
      </c>
      <c r="U31" s="29">
        <f t="shared" si="1"/>
        <v>17</v>
      </c>
      <c r="V31" s="29">
        <f t="shared" si="1"/>
        <v>18</v>
      </c>
      <c r="W31" s="29">
        <f t="shared" si="1"/>
        <v>19</v>
      </c>
      <c r="X31" s="29">
        <f t="shared" si="1"/>
        <v>20</v>
      </c>
      <c r="Y31" s="29">
        <f t="shared" si="1"/>
      </c>
      <c r="Z31" s="29">
        <f t="shared" si="1"/>
      </c>
      <c r="AA31" s="29">
        <f t="shared" si="1"/>
      </c>
      <c r="AB31" s="29">
        <f t="shared" si="1"/>
      </c>
      <c r="AC31" s="29">
        <f t="shared" si="1"/>
      </c>
      <c r="AD31" s="29">
        <f t="shared" si="1"/>
      </c>
      <c r="AE31" s="29">
        <f t="shared" si="1"/>
      </c>
      <c r="AF31" s="29">
        <f t="shared" si="1"/>
      </c>
      <c r="AG31" s="29">
        <f t="shared" si="1"/>
      </c>
      <c r="AH31" s="29">
        <f t="shared" si="1"/>
      </c>
      <c r="AI31" s="29">
        <f t="shared" si="1"/>
      </c>
      <c r="AJ31" s="29">
        <f t="shared" si="1"/>
      </c>
      <c r="AK31" s="29">
        <f t="shared" si="1"/>
      </c>
      <c r="AL31" s="29">
        <f t="shared" si="1"/>
      </c>
      <c r="AM31" s="29">
        <f t="shared" si="1"/>
      </c>
      <c r="AN31" s="29">
        <f t="shared" si="1"/>
      </c>
      <c r="AO31" s="29">
        <f t="shared" si="1"/>
      </c>
      <c r="AP31" s="29">
        <f t="shared" si="1"/>
      </c>
      <c r="AQ31" s="29">
        <f t="shared" si="1"/>
      </c>
      <c r="AR31" s="29">
        <f t="shared" si="1"/>
      </c>
      <c r="AS31" s="29">
        <f t="shared" si="1"/>
      </c>
      <c r="AT31" s="29">
        <f t="shared" si="1"/>
      </c>
      <c r="AU31" s="29">
        <f t="shared" si="1"/>
      </c>
      <c r="AV31" s="29">
        <f t="shared" si="1"/>
      </c>
      <c r="AW31" s="29">
        <f t="shared" si="1"/>
      </c>
      <c r="AX31" s="29">
        <f t="shared" si="1"/>
      </c>
      <c r="AY31" s="29">
        <f t="shared" si="1"/>
      </c>
      <c r="AZ31" s="29">
        <f t="shared" si="1"/>
      </c>
      <c r="BA31" s="29">
        <f t="shared" si="1"/>
      </c>
      <c r="BB31" s="29">
        <f t="shared" si="1"/>
      </c>
    </row>
    <row r="32" spans="1:54" ht="19.5" thickBot="1">
      <c r="A32" s="26" t="s">
        <v>10</v>
      </c>
      <c r="B32" s="21" t="s">
        <v>18</v>
      </c>
      <c r="C32" s="16">
        <f>SUM(D32:BB32)</f>
        <v>365857.05714886106</v>
      </c>
      <c r="D32" s="27">
        <f>D33*D29</f>
        <v>3389.394852565853</v>
      </c>
      <c r="E32" s="27">
        <f aca="true" t="shared" si="2" ref="E32:BB32">E33*E29</f>
        <v>64462.99475684405</v>
      </c>
      <c r="F32" s="27">
        <f t="shared" si="2"/>
        <v>59687.958108188934</v>
      </c>
      <c r="G32" s="27">
        <f t="shared" si="2"/>
        <v>55266.627877952706</v>
      </c>
      <c r="H32" s="27">
        <f t="shared" si="2"/>
        <v>51172.80359069695</v>
      </c>
      <c r="I32" s="27">
        <f t="shared" si="2"/>
        <v>47382.22554694162</v>
      </c>
      <c r="J32" s="27">
        <f t="shared" si="2"/>
        <v>43872.431061982985</v>
      </c>
      <c r="K32" s="27">
        <f t="shared" si="2"/>
        <v>40622.621353687944</v>
      </c>
      <c r="L32" s="27">
        <f t="shared" si="2"/>
        <v>0</v>
      </c>
      <c r="M32" s="27">
        <f t="shared" si="2"/>
        <v>0</v>
      </c>
      <c r="N32" s="27">
        <f t="shared" si="2"/>
        <v>0</v>
      </c>
      <c r="O32" s="27">
        <f t="shared" si="2"/>
        <v>0</v>
      </c>
      <c r="P32" s="27">
        <f t="shared" si="2"/>
        <v>0</v>
      </c>
      <c r="Q32" s="27">
        <f t="shared" si="2"/>
        <v>0</v>
      </c>
      <c r="R32" s="27">
        <f t="shared" si="2"/>
        <v>0</v>
      </c>
      <c r="S32" s="27">
        <f t="shared" si="2"/>
        <v>0</v>
      </c>
      <c r="T32" s="27">
        <f t="shared" si="2"/>
        <v>0</v>
      </c>
      <c r="U32" s="27">
        <f t="shared" si="2"/>
        <v>0</v>
      </c>
      <c r="V32" s="27">
        <f t="shared" si="2"/>
        <v>0</v>
      </c>
      <c r="W32" s="27">
        <f t="shared" si="2"/>
        <v>0</v>
      </c>
      <c r="X32" s="27">
        <f t="shared" si="2"/>
        <v>0</v>
      </c>
      <c r="Y32" s="27">
        <f t="shared" si="2"/>
        <v>0</v>
      </c>
      <c r="Z32" s="27">
        <f t="shared" si="2"/>
        <v>0</v>
      </c>
      <c r="AA32" s="27">
        <f t="shared" si="2"/>
        <v>0</v>
      </c>
      <c r="AB32" s="27">
        <f t="shared" si="2"/>
        <v>0</v>
      </c>
      <c r="AC32" s="27">
        <f t="shared" si="2"/>
        <v>0</v>
      </c>
      <c r="AD32" s="27">
        <f t="shared" si="2"/>
        <v>0</v>
      </c>
      <c r="AE32" s="27">
        <f t="shared" si="2"/>
        <v>0</v>
      </c>
      <c r="AF32" s="27">
        <f t="shared" si="2"/>
        <v>0</v>
      </c>
      <c r="AG32" s="27">
        <f t="shared" si="2"/>
        <v>0</v>
      </c>
      <c r="AH32" s="27">
        <f t="shared" si="2"/>
        <v>0</v>
      </c>
      <c r="AI32" s="27">
        <f t="shared" si="2"/>
        <v>0</v>
      </c>
      <c r="AJ32" s="27">
        <f t="shared" si="2"/>
        <v>0</v>
      </c>
      <c r="AK32" s="27">
        <f t="shared" si="2"/>
        <v>0</v>
      </c>
      <c r="AL32" s="27">
        <f t="shared" si="2"/>
        <v>0</v>
      </c>
      <c r="AM32" s="27">
        <f t="shared" si="2"/>
        <v>0</v>
      </c>
      <c r="AN32" s="27">
        <f t="shared" si="2"/>
        <v>0</v>
      </c>
      <c r="AO32" s="27">
        <f t="shared" si="2"/>
        <v>0</v>
      </c>
      <c r="AP32" s="27">
        <f t="shared" si="2"/>
        <v>0</v>
      </c>
      <c r="AQ32" s="27">
        <f t="shared" si="2"/>
        <v>0</v>
      </c>
      <c r="AR32" s="27">
        <f t="shared" si="2"/>
        <v>0</v>
      </c>
      <c r="AS32" s="27">
        <f t="shared" si="2"/>
        <v>0</v>
      </c>
      <c r="AT32" s="27">
        <f t="shared" si="2"/>
        <v>0</v>
      </c>
      <c r="AU32" s="27">
        <f t="shared" si="2"/>
        <v>0</v>
      </c>
      <c r="AV32" s="27">
        <f t="shared" si="2"/>
        <v>0</v>
      </c>
      <c r="AW32" s="27">
        <f t="shared" si="2"/>
        <v>0</v>
      </c>
      <c r="AX32" s="27">
        <f t="shared" si="2"/>
        <v>0</v>
      </c>
      <c r="AY32" s="27">
        <f t="shared" si="2"/>
        <v>0</v>
      </c>
      <c r="AZ32" s="27">
        <f t="shared" si="2"/>
        <v>0</v>
      </c>
      <c r="BA32" s="27">
        <f t="shared" si="2"/>
        <v>0</v>
      </c>
      <c r="BB32" s="27">
        <f t="shared" si="2"/>
        <v>0</v>
      </c>
    </row>
    <row r="33" spans="1:54" ht="14.25" customHeight="1">
      <c r="A33" s="30" t="s">
        <v>25</v>
      </c>
      <c r="B33" s="28" t="s">
        <v>18</v>
      </c>
      <c r="C33" s="12">
        <f>C35+C36+C40+C42</f>
        <v>1995</v>
      </c>
      <c r="D33" s="49">
        <f>D35+D36+D41+D43+D51+D52</f>
        <v>3389.394852565853</v>
      </c>
      <c r="E33" s="49">
        <f aca="true" t="shared" si="3" ref="E33:K33">E35+E36+E41+E43+E51+E52</f>
        <v>69620.03433739158</v>
      </c>
      <c r="F33" s="49">
        <f t="shared" si="3"/>
        <v>69620.03433739158</v>
      </c>
      <c r="G33" s="49">
        <f t="shared" si="3"/>
        <v>69620.03433739158</v>
      </c>
      <c r="H33" s="49">
        <f t="shared" si="3"/>
        <v>69620.03433739158</v>
      </c>
      <c r="I33" s="49">
        <f t="shared" si="3"/>
        <v>69620.03433739158</v>
      </c>
      <c r="J33" s="49">
        <f t="shared" si="3"/>
        <v>69620.0343373916</v>
      </c>
      <c r="K33" s="49">
        <f t="shared" si="3"/>
        <v>69620.0343373916</v>
      </c>
      <c r="L33" s="49">
        <f aca="true" t="shared" si="4" ref="L33:X33">L35+L36+L41+L43</f>
        <v>0</v>
      </c>
      <c r="M33" s="49">
        <f t="shared" si="4"/>
        <v>0</v>
      </c>
      <c r="N33" s="49">
        <f t="shared" si="4"/>
        <v>0</v>
      </c>
      <c r="O33" s="49">
        <f t="shared" si="4"/>
        <v>0</v>
      </c>
      <c r="P33" s="49">
        <f t="shared" si="4"/>
        <v>0</v>
      </c>
      <c r="Q33" s="49">
        <f t="shared" si="4"/>
        <v>0</v>
      </c>
      <c r="R33" s="49">
        <f t="shared" si="4"/>
        <v>0</v>
      </c>
      <c r="S33" s="49">
        <f t="shared" si="4"/>
        <v>0</v>
      </c>
      <c r="T33" s="49">
        <f t="shared" si="4"/>
        <v>0</v>
      </c>
      <c r="U33" s="49">
        <f t="shared" si="4"/>
        <v>0</v>
      </c>
      <c r="V33" s="49">
        <f t="shared" si="4"/>
        <v>0</v>
      </c>
      <c r="W33" s="49">
        <f t="shared" si="4"/>
        <v>0</v>
      </c>
      <c r="X33" s="49">
        <f t="shared" si="4"/>
        <v>0</v>
      </c>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row>
    <row r="34" spans="1:3" ht="12.75">
      <c r="A34" s="13" t="s">
        <v>11</v>
      </c>
      <c r="C34" s="9"/>
    </row>
    <row r="35" spans="1:3" ht="12.75">
      <c r="A35" s="45" t="s">
        <v>59</v>
      </c>
      <c r="B35" s="46" t="s">
        <v>55</v>
      </c>
      <c r="C35" s="47">
        <f>E12</f>
        <v>230</v>
      </c>
    </row>
    <row r="36" spans="1:14" ht="12.75">
      <c r="A36" s="45" t="s">
        <v>58</v>
      </c>
      <c r="B36" s="46" t="s">
        <v>55</v>
      </c>
      <c r="C36" s="47">
        <f>E13</f>
        <v>65</v>
      </c>
      <c r="N36">
        <f>D36</f>
        <v>0</v>
      </c>
    </row>
    <row r="37" ht="12.75">
      <c r="C37" s="9"/>
    </row>
    <row r="38" ht="12.75">
      <c r="A38" s="13" t="s">
        <v>12</v>
      </c>
    </row>
    <row r="39" spans="1:3" ht="12.75">
      <c r="A39" t="s">
        <v>20</v>
      </c>
      <c r="B39" s="8" t="s">
        <v>6</v>
      </c>
      <c r="C39">
        <v>40</v>
      </c>
    </row>
    <row r="40" spans="1:3" ht="12.75">
      <c r="A40" s="45" t="s">
        <v>41</v>
      </c>
      <c r="B40" s="46" t="s">
        <v>55</v>
      </c>
      <c r="C40" s="45">
        <f>E14</f>
        <v>1200</v>
      </c>
    </row>
    <row r="41" spans="1:4" ht="12.75">
      <c r="A41" s="45" t="s">
        <v>56</v>
      </c>
      <c r="B41" s="46" t="s">
        <v>55</v>
      </c>
      <c r="C41" s="48">
        <f>C40*C46</f>
        <v>988.0217126703011</v>
      </c>
      <c r="D41" s="48"/>
    </row>
    <row r="42" spans="1:3" ht="12.75">
      <c r="A42" s="45" t="s">
        <v>57</v>
      </c>
      <c r="B42" s="46" t="s">
        <v>55</v>
      </c>
      <c r="C42" s="45">
        <f>E15*E8</f>
        <v>500</v>
      </c>
    </row>
    <row r="43" spans="1:4" ht="12.75">
      <c r="A43" s="45" t="s">
        <v>56</v>
      </c>
      <c r="B43" s="46" t="s">
        <v>55</v>
      </c>
      <c r="C43" s="48">
        <f>C42*C46</f>
        <v>411.67571361262543</v>
      </c>
      <c r="D43" s="48"/>
    </row>
    <row r="45" spans="1:3" ht="12.75">
      <c r="A45" s="11" t="s">
        <v>21</v>
      </c>
      <c r="B45" s="8" t="s">
        <v>18</v>
      </c>
      <c r="C45" s="24"/>
    </row>
    <row r="46" spans="1:3" ht="14.25" customHeight="1">
      <c r="A46" s="23" t="s">
        <v>24</v>
      </c>
      <c r="B46" s="22"/>
      <c r="C46" s="17">
        <f>(1-POWER(1+C29/100,-C28))/(1-POWER(1+C29/100,-C39))</f>
        <v>0.8233514272252509</v>
      </c>
    </row>
    <row r="47" spans="1:3" ht="12.75">
      <c r="A47" s="10"/>
      <c r="B47" s="8"/>
      <c r="C47" s="12"/>
    </row>
    <row r="48" spans="1:3" ht="12.75">
      <c r="A48" s="10"/>
      <c r="C48" s="12"/>
    </row>
    <row r="49" spans="1:3" ht="12.75">
      <c r="A49" s="14" t="s">
        <v>13</v>
      </c>
      <c r="C49" s="12"/>
    </row>
    <row r="50" spans="1:11" ht="12.75">
      <c r="A50" s="59" t="s">
        <v>78</v>
      </c>
      <c r="B50" s="60" t="s">
        <v>18</v>
      </c>
      <c r="C50" s="62">
        <f>'4 FinPlanas'!C50</f>
        <v>338939.4852565853</v>
      </c>
      <c r="D50" s="56"/>
      <c r="E50" s="56"/>
      <c r="F50" s="56"/>
      <c r="G50" s="56"/>
      <c r="H50" s="56"/>
      <c r="I50" s="56"/>
      <c r="J50" s="56"/>
      <c r="K50" s="56"/>
    </row>
    <row r="51" spans="1:11" ht="12.75">
      <c r="A51" s="59" t="s">
        <v>79</v>
      </c>
      <c r="B51" s="60" t="s">
        <v>18</v>
      </c>
      <c r="C51" s="62">
        <f>SUM(E51:K51)</f>
        <v>487340.24036174116</v>
      </c>
      <c r="D51" s="56"/>
      <c r="E51" s="57">
        <v>69620.03433739158</v>
      </c>
      <c r="F51" s="57">
        <v>69620.03433739158</v>
      </c>
      <c r="G51" s="57">
        <v>69620.03433739158</v>
      </c>
      <c r="H51" s="57">
        <v>69620.03433739158</v>
      </c>
      <c r="I51" s="57">
        <v>69620.03433739158</v>
      </c>
      <c r="J51" s="57">
        <v>69620.0343373916</v>
      </c>
      <c r="K51" s="57">
        <v>69620.0343373916</v>
      </c>
    </row>
    <row r="52" spans="1:11" ht="12" customHeight="1">
      <c r="A52" s="58" t="s">
        <v>80</v>
      </c>
      <c r="B52" s="60" t="s">
        <v>18</v>
      </c>
      <c r="C52" s="61"/>
      <c r="D52" s="57">
        <f>C50*0.01</f>
        <v>3389.394852565853</v>
      </c>
      <c r="E52" s="56"/>
      <c r="F52" s="56"/>
      <c r="G52" s="56"/>
      <c r="H52" s="56"/>
      <c r="I52" s="56"/>
      <c r="J52" s="56"/>
      <c r="K52" s="56"/>
    </row>
    <row r="53" spans="1:3" ht="12.75">
      <c r="A53" s="10"/>
      <c r="C53" s="12"/>
    </row>
    <row r="54" spans="4:54" ht="15" thickBot="1">
      <c r="D54" s="29" t="s">
        <v>5</v>
      </c>
      <c r="E54" s="29">
        <f>E31</f>
        <v>1</v>
      </c>
      <c r="F54" s="29">
        <f aca="true" t="shared" si="5" ref="F54:BB54">F31</f>
        <v>2</v>
      </c>
      <c r="G54" s="29">
        <f t="shared" si="5"/>
        <v>3</v>
      </c>
      <c r="H54" s="29">
        <f t="shared" si="5"/>
        <v>4</v>
      </c>
      <c r="I54" s="29">
        <f t="shared" si="5"/>
        <v>5</v>
      </c>
      <c r="J54" s="29">
        <f t="shared" si="5"/>
        <v>6</v>
      </c>
      <c r="K54" s="29">
        <f t="shared" si="5"/>
        <v>7</v>
      </c>
      <c r="L54" s="29">
        <f t="shared" si="5"/>
        <v>8</v>
      </c>
      <c r="M54" s="29">
        <f t="shared" si="5"/>
        <v>9</v>
      </c>
      <c r="N54" s="29">
        <f t="shared" si="5"/>
        <v>10</v>
      </c>
      <c r="O54" s="29">
        <f t="shared" si="5"/>
        <v>11</v>
      </c>
      <c r="P54" s="29">
        <f t="shared" si="5"/>
        <v>12</v>
      </c>
      <c r="Q54" s="29">
        <f t="shared" si="5"/>
        <v>13</v>
      </c>
      <c r="R54" s="29">
        <f t="shared" si="5"/>
        <v>14</v>
      </c>
      <c r="S54" s="29">
        <f t="shared" si="5"/>
        <v>15</v>
      </c>
      <c r="T54" s="29">
        <f t="shared" si="5"/>
        <v>16</v>
      </c>
      <c r="U54" s="29">
        <f t="shared" si="5"/>
        <v>17</v>
      </c>
      <c r="V54" s="29">
        <f t="shared" si="5"/>
        <v>18</v>
      </c>
      <c r="W54" s="29">
        <f t="shared" si="5"/>
        <v>19</v>
      </c>
      <c r="X54" s="29">
        <f t="shared" si="5"/>
        <v>20</v>
      </c>
      <c r="Y54" s="29">
        <f t="shared" si="5"/>
      </c>
      <c r="Z54" s="29">
        <f t="shared" si="5"/>
      </c>
      <c r="AA54" s="29">
        <f t="shared" si="5"/>
      </c>
      <c r="AB54" s="29">
        <f t="shared" si="5"/>
      </c>
      <c r="AC54" s="29">
        <f t="shared" si="5"/>
      </c>
      <c r="AD54" s="29">
        <f t="shared" si="5"/>
      </c>
      <c r="AE54" s="29">
        <f t="shared" si="5"/>
      </c>
      <c r="AF54" s="29">
        <f t="shared" si="5"/>
      </c>
      <c r="AG54" s="29">
        <f t="shared" si="5"/>
      </c>
      <c r="AH54" s="29">
        <f t="shared" si="5"/>
      </c>
      <c r="AI54" s="29">
        <f t="shared" si="5"/>
      </c>
      <c r="AJ54" s="29">
        <f t="shared" si="5"/>
      </c>
      <c r="AK54" s="29">
        <f t="shared" si="5"/>
      </c>
      <c r="AL54" s="29">
        <f t="shared" si="5"/>
      </c>
      <c r="AM54" s="29">
        <f t="shared" si="5"/>
      </c>
      <c r="AN54" s="29">
        <f t="shared" si="5"/>
      </c>
      <c r="AO54" s="29">
        <f t="shared" si="5"/>
      </c>
      <c r="AP54" s="29">
        <f t="shared" si="5"/>
      </c>
      <c r="AQ54" s="29">
        <f t="shared" si="5"/>
      </c>
      <c r="AR54" s="29">
        <f t="shared" si="5"/>
      </c>
      <c r="AS54" s="29">
        <f t="shared" si="5"/>
      </c>
      <c r="AT54" s="29">
        <f t="shared" si="5"/>
      </c>
      <c r="AU54" s="29">
        <f t="shared" si="5"/>
      </c>
      <c r="AV54" s="29">
        <f t="shared" si="5"/>
      </c>
      <c r="AW54" s="29">
        <f t="shared" si="5"/>
      </c>
      <c r="AX54" s="29">
        <f t="shared" si="5"/>
      </c>
      <c r="AY54" s="29">
        <f t="shared" si="5"/>
      </c>
      <c r="AZ54" s="29">
        <f t="shared" si="5"/>
      </c>
      <c r="BA54" s="29">
        <f t="shared" si="5"/>
      </c>
      <c r="BB54" s="29">
        <f t="shared" si="5"/>
      </c>
    </row>
    <row r="55" spans="1:54" ht="19.5" thickBot="1">
      <c r="A55" s="26" t="s">
        <v>16</v>
      </c>
      <c r="B55" s="22" t="s">
        <v>18</v>
      </c>
      <c r="C55" s="16">
        <f>SUM(E55:BB55)</f>
        <v>2091683.7980345578</v>
      </c>
      <c r="D55" s="2"/>
      <c r="E55" s="27">
        <f aca="true" t="shared" si="6" ref="E55:AJ55">E56*E29</f>
        <v>197261.68054575621</v>
      </c>
      <c r="F55" s="27">
        <f t="shared" si="6"/>
        <v>182649.70420903352</v>
      </c>
      <c r="G55" s="27">
        <f t="shared" si="6"/>
        <v>169120.09648984583</v>
      </c>
      <c r="H55" s="27">
        <f t="shared" si="6"/>
        <v>156592.68193504243</v>
      </c>
      <c r="I55" s="27">
        <f t="shared" si="6"/>
        <v>144993.22401392818</v>
      </c>
      <c r="J55" s="27">
        <f t="shared" si="6"/>
        <v>134252.98519808165</v>
      </c>
      <c r="K55" s="27">
        <f t="shared" si="6"/>
        <v>124308.31962785334</v>
      </c>
      <c r="L55" s="27">
        <f t="shared" si="6"/>
        <v>115100.29595171605</v>
      </c>
      <c r="M55" s="27">
        <f t="shared" si="6"/>
        <v>106574.34810344077</v>
      </c>
      <c r="N55" s="27">
        <f t="shared" si="6"/>
        <v>98679.95194763034</v>
      </c>
      <c r="O55" s="27">
        <f t="shared" si="6"/>
        <v>91370.32587743549</v>
      </c>
      <c r="P55" s="27">
        <f t="shared" si="6"/>
        <v>84602.15359021803</v>
      </c>
      <c r="Q55" s="27">
        <f t="shared" si="6"/>
        <v>78335.32739835004</v>
      </c>
      <c r="R55" s="27">
        <f t="shared" si="6"/>
        <v>72532.71055402781</v>
      </c>
      <c r="S55" s="27">
        <f t="shared" si="6"/>
        <v>67159.91717965539</v>
      </c>
      <c r="T55" s="27">
        <f t="shared" si="6"/>
        <v>62185.1084996809</v>
      </c>
      <c r="U55" s="27">
        <f t="shared" si="6"/>
        <v>57578.80416637119</v>
      </c>
      <c r="V55" s="27">
        <f t="shared" si="6"/>
        <v>53313.7075614548</v>
      </c>
      <c r="W55" s="27">
        <f t="shared" si="6"/>
        <v>49364.544038384076</v>
      </c>
      <c r="X55" s="27">
        <f t="shared" si="6"/>
        <v>45707.91114665192</v>
      </c>
      <c r="Y55" s="27">
        <f t="shared" si="6"/>
        <v>0</v>
      </c>
      <c r="Z55" s="27">
        <f t="shared" si="6"/>
        <v>0</v>
      </c>
      <c r="AA55" s="27">
        <f t="shared" si="6"/>
        <v>0</v>
      </c>
      <c r="AB55" s="27">
        <f t="shared" si="6"/>
        <v>0</v>
      </c>
      <c r="AC55" s="27">
        <f t="shared" si="6"/>
        <v>0</v>
      </c>
      <c r="AD55" s="27">
        <f t="shared" si="6"/>
        <v>0</v>
      </c>
      <c r="AE55" s="27">
        <f t="shared" si="6"/>
        <v>0</v>
      </c>
      <c r="AF55" s="27">
        <f t="shared" si="6"/>
        <v>0</v>
      </c>
      <c r="AG55" s="27">
        <f t="shared" si="6"/>
        <v>0</v>
      </c>
      <c r="AH55" s="27">
        <f t="shared" si="6"/>
        <v>0</v>
      </c>
      <c r="AI55" s="27">
        <f t="shared" si="6"/>
        <v>0</v>
      </c>
      <c r="AJ55" s="27">
        <f t="shared" si="6"/>
        <v>0</v>
      </c>
      <c r="AK55" s="27">
        <f aca="true" t="shared" si="7" ref="AK55:BB55">AK56*AK29</f>
        <v>0</v>
      </c>
      <c r="AL55" s="27">
        <f t="shared" si="7"/>
        <v>0</v>
      </c>
      <c r="AM55" s="27">
        <f t="shared" si="7"/>
        <v>0</v>
      </c>
      <c r="AN55" s="27">
        <f t="shared" si="7"/>
        <v>0</v>
      </c>
      <c r="AO55" s="27">
        <f t="shared" si="7"/>
        <v>0</v>
      </c>
      <c r="AP55" s="27">
        <f t="shared" si="7"/>
        <v>0</v>
      </c>
      <c r="AQ55" s="27">
        <f t="shared" si="7"/>
        <v>0</v>
      </c>
      <c r="AR55" s="27">
        <f t="shared" si="7"/>
        <v>0</v>
      </c>
      <c r="AS55" s="27">
        <f t="shared" si="7"/>
        <v>0</v>
      </c>
      <c r="AT55" s="27">
        <f t="shared" si="7"/>
        <v>0</v>
      </c>
      <c r="AU55" s="27">
        <f t="shared" si="7"/>
        <v>0</v>
      </c>
      <c r="AV55" s="27">
        <f t="shared" si="7"/>
        <v>0</v>
      </c>
      <c r="AW55" s="27">
        <f t="shared" si="7"/>
        <v>0</v>
      </c>
      <c r="AX55" s="27">
        <f t="shared" si="7"/>
        <v>0</v>
      </c>
      <c r="AY55" s="27">
        <f t="shared" si="7"/>
        <v>0</v>
      </c>
      <c r="AZ55" s="27">
        <f t="shared" si="7"/>
        <v>0</v>
      </c>
      <c r="BA55" s="27">
        <f t="shared" si="7"/>
        <v>0</v>
      </c>
      <c r="BB55" s="27">
        <f t="shared" si="7"/>
        <v>0</v>
      </c>
    </row>
    <row r="56" spans="1:54" ht="15.75" thickBot="1">
      <c r="A56" s="30" t="s">
        <v>26</v>
      </c>
      <c r="B56" s="8" t="s">
        <v>18</v>
      </c>
      <c r="C56" s="16">
        <f>SUM(E56:BB56)</f>
        <v>4260852.299788334</v>
      </c>
      <c r="E56" s="49">
        <f>E60+E64+E67</f>
        <v>213042.61498941673</v>
      </c>
      <c r="F56" s="49">
        <f aca="true" t="shared" si="8" ref="F56:X56">F60+F64+F67</f>
        <v>213042.61498941673</v>
      </c>
      <c r="G56" s="49">
        <f t="shared" si="8"/>
        <v>213042.61498941673</v>
      </c>
      <c r="H56" s="49">
        <f t="shared" si="8"/>
        <v>213042.61498941673</v>
      </c>
      <c r="I56" s="49">
        <f t="shared" si="8"/>
        <v>213042.61498941673</v>
      </c>
      <c r="J56" s="49">
        <f t="shared" si="8"/>
        <v>213042.61498941673</v>
      </c>
      <c r="K56" s="49">
        <f t="shared" si="8"/>
        <v>213042.61498941673</v>
      </c>
      <c r="L56" s="49">
        <f t="shared" si="8"/>
        <v>213042.61498941673</v>
      </c>
      <c r="M56" s="49">
        <f t="shared" si="8"/>
        <v>213042.61498941673</v>
      </c>
      <c r="N56" s="49">
        <f t="shared" si="8"/>
        <v>213042.61498941673</v>
      </c>
      <c r="O56" s="49">
        <f t="shared" si="8"/>
        <v>213042.61498941673</v>
      </c>
      <c r="P56" s="49">
        <f t="shared" si="8"/>
        <v>213042.61498941673</v>
      </c>
      <c r="Q56" s="49">
        <f t="shared" si="8"/>
        <v>213042.61498941673</v>
      </c>
      <c r="R56" s="49">
        <f t="shared" si="8"/>
        <v>213042.61498941673</v>
      </c>
      <c r="S56" s="49">
        <f t="shared" si="8"/>
        <v>213042.61498941673</v>
      </c>
      <c r="T56" s="49">
        <f t="shared" si="8"/>
        <v>213042.61498941673</v>
      </c>
      <c r="U56" s="49">
        <f t="shared" si="8"/>
        <v>213042.61498941673</v>
      </c>
      <c r="V56" s="49">
        <f t="shared" si="8"/>
        <v>213042.61498941673</v>
      </c>
      <c r="W56" s="49">
        <f t="shared" si="8"/>
        <v>213042.61498941673</v>
      </c>
      <c r="X56" s="49">
        <f t="shared" si="8"/>
        <v>213042.61498941673</v>
      </c>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row>
    <row r="57" ht="12.75">
      <c r="A57" s="13" t="s">
        <v>14</v>
      </c>
    </row>
    <row r="58" spans="1:3" ht="12.75">
      <c r="A58" s="50" t="s">
        <v>65</v>
      </c>
      <c r="B58" s="46" t="s">
        <v>60</v>
      </c>
      <c r="C58" s="45">
        <f>(E8*E9*E10+E11*E8*12*51)/1000</f>
        <v>871.8</v>
      </c>
    </row>
    <row r="59" spans="1:3" ht="12.75">
      <c r="A59" s="50" t="s">
        <v>61</v>
      </c>
      <c r="B59" s="46" t="s">
        <v>62</v>
      </c>
      <c r="C59" s="52">
        <f>C58/(E19/100)*859845/E17/1000</f>
        <v>440.74133995766687</v>
      </c>
    </row>
    <row r="60" spans="1:24" ht="12.75">
      <c r="A60" s="50" t="s">
        <v>63</v>
      </c>
      <c r="B60" s="46" t="s">
        <v>64</v>
      </c>
      <c r="C60" s="53">
        <f>C59*E16</f>
        <v>110.18533498941672</v>
      </c>
      <c r="E60" s="51">
        <f>C60*1000</f>
        <v>110185.33498941672</v>
      </c>
      <c r="F60" s="48">
        <f>E60</f>
        <v>110185.33498941672</v>
      </c>
      <c r="G60" s="48">
        <f aca="true" t="shared" si="9" ref="G60:X60">F60</f>
        <v>110185.33498941672</v>
      </c>
      <c r="H60" s="48">
        <f t="shared" si="9"/>
        <v>110185.33498941672</v>
      </c>
      <c r="I60" s="48">
        <f t="shared" si="9"/>
        <v>110185.33498941672</v>
      </c>
      <c r="J60" s="48">
        <f t="shared" si="9"/>
        <v>110185.33498941672</v>
      </c>
      <c r="K60" s="48">
        <f t="shared" si="9"/>
        <v>110185.33498941672</v>
      </c>
      <c r="L60" s="48">
        <f t="shared" si="9"/>
        <v>110185.33498941672</v>
      </c>
      <c r="M60" s="48">
        <f t="shared" si="9"/>
        <v>110185.33498941672</v>
      </c>
      <c r="N60" s="48">
        <f t="shared" si="9"/>
        <v>110185.33498941672</v>
      </c>
      <c r="O60" s="48">
        <f t="shared" si="9"/>
        <v>110185.33498941672</v>
      </c>
      <c r="P60" s="48">
        <f t="shared" si="9"/>
        <v>110185.33498941672</v>
      </c>
      <c r="Q60" s="48">
        <f t="shared" si="9"/>
        <v>110185.33498941672</v>
      </c>
      <c r="R60" s="48">
        <f t="shared" si="9"/>
        <v>110185.33498941672</v>
      </c>
      <c r="S60" s="48">
        <f t="shared" si="9"/>
        <v>110185.33498941672</v>
      </c>
      <c r="T60" s="48">
        <f t="shared" si="9"/>
        <v>110185.33498941672</v>
      </c>
      <c r="U60" s="48">
        <f t="shared" si="9"/>
        <v>110185.33498941672</v>
      </c>
      <c r="V60" s="48">
        <f t="shared" si="9"/>
        <v>110185.33498941672</v>
      </c>
      <c r="W60" s="48">
        <f t="shared" si="9"/>
        <v>110185.33498941672</v>
      </c>
      <c r="X60" s="48">
        <f t="shared" si="9"/>
        <v>110185.33498941672</v>
      </c>
    </row>
    <row r="62" ht="12.75">
      <c r="A62" s="13" t="s">
        <v>15</v>
      </c>
    </row>
    <row r="63" spans="1:3" ht="12.75">
      <c r="A63" s="50" t="s">
        <v>66</v>
      </c>
      <c r="B63" s="46" t="s">
        <v>67</v>
      </c>
      <c r="C63" s="45">
        <f>E20*365*24</f>
        <v>17520</v>
      </c>
    </row>
    <row r="64" spans="1:24" ht="12.75">
      <c r="A64" s="50" t="s">
        <v>68</v>
      </c>
      <c r="B64" s="46" t="s">
        <v>69</v>
      </c>
      <c r="C64" s="45">
        <f>C63*E21/100</f>
        <v>6377.28</v>
      </c>
      <c r="E64">
        <f>C64</f>
        <v>6377.28</v>
      </c>
      <c r="F64">
        <f>E64</f>
        <v>6377.28</v>
      </c>
      <c r="G64">
        <f aca="true" t="shared" si="10" ref="G64:X64">F64</f>
        <v>6377.28</v>
      </c>
      <c r="H64">
        <f t="shared" si="10"/>
        <v>6377.28</v>
      </c>
      <c r="I64">
        <f t="shared" si="10"/>
        <v>6377.28</v>
      </c>
      <c r="J64">
        <f t="shared" si="10"/>
        <v>6377.28</v>
      </c>
      <c r="K64">
        <f t="shared" si="10"/>
        <v>6377.28</v>
      </c>
      <c r="L64">
        <f t="shared" si="10"/>
        <v>6377.28</v>
      </c>
      <c r="M64">
        <f t="shared" si="10"/>
        <v>6377.28</v>
      </c>
      <c r="N64">
        <f t="shared" si="10"/>
        <v>6377.28</v>
      </c>
      <c r="O64">
        <f t="shared" si="10"/>
        <v>6377.28</v>
      </c>
      <c r="P64">
        <f t="shared" si="10"/>
        <v>6377.28</v>
      </c>
      <c r="Q64">
        <f t="shared" si="10"/>
        <v>6377.28</v>
      </c>
      <c r="R64">
        <f t="shared" si="10"/>
        <v>6377.28</v>
      </c>
      <c r="S64">
        <f t="shared" si="10"/>
        <v>6377.28</v>
      </c>
      <c r="T64">
        <f t="shared" si="10"/>
        <v>6377.28</v>
      </c>
      <c r="U64">
        <f t="shared" si="10"/>
        <v>6377.28</v>
      </c>
      <c r="V64">
        <f t="shared" si="10"/>
        <v>6377.28</v>
      </c>
      <c r="W64">
        <f t="shared" si="10"/>
        <v>6377.28</v>
      </c>
      <c r="X64">
        <f t="shared" si="10"/>
        <v>6377.28</v>
      </c>
    </row>
    <row r="66" ht="12.75">
      <c r="A66" s="13" t="s">
        <v>19</v>
      </c>
    </row>
    <row r="67" spans="1:24" ht="12.75">
      <c r="A67" s="50" t="s">
        <v>70</v>
      </c>
      <c r="B67" s="46" t="s">
        <v>69</v>
      </c>
      <c r="C67" s="45">
        <f>E22*1.34*12*4</f>
        <v>96480.00000000001</v>
      </c>
      <c r="E67">
        <f>C67</f>
        <v>96480.00000000001</v>
      </c>
      <c r="F67">
        <f>E67</f>
        <v>96480.00000000001</v>
      </c>
      <c r="G67">
        <f aca="true" t="shared" si="11" ref="G67:X67">F67</f>
        <v>96480.00000000001</v>
      </c>
      <c r="H67">
        <f t="shared" si="11"/>
        <v>96480.00000000001</v>
      </c>
      <c r="I67">
        <f t="shared" si="11"/>
        <v>96480.00000000001</v>
      </c>
      <c r="J67">
        <f t="shared" si="11"/>
        <v>96480.00000000001</v>
      </c>
      <c r="K67">
        <f t="shared" si="11"/>
        <v>96480.00000000001</v>
      </c>
      <c r="L67">
        <f t="shared" si="11"/>
        <v>96480.00000000001</v>
      </c>
      <c r="M67">
        <f t="shared" si="11"/>
        <v>96480.00000000001</v>
      </c>
      <c r="N67">
        <f t="shared" si="11"/>
        <v>96480.00000000001</v>
      </c>
      <c r="O67">
        <f t="shared" si="11"/>
        <v>96480.00000000001</v>
      </c>
      <c r="P67">
        <f t="shared" si="11"/>
        <v>96480.00000000001</v>
      </c>
      <c r="Q67">
        <f t="shared" si="11"/>
        <v>96480.00000000001</v>
      </c>
      <c r="R67">
        <f t="shared" si="11"/>
        <v>96480.00000000001</v>
      </c>
      <c r="S67">
        <f t="shared" si="11"/>
        <v>96480.00000000001</v>
      </c>
      <c r="T67">
        <f t="shared" si="11"/>
        <v>96480.00000000001</v>
      </c>
      <c r="U67">
        <f t="shared" si="11"/>
        <v>96480.00000000001</v>
      </c>
      <c r="V67">
        <f t="shared" si="11"/>
        <v>96480.00000000001</v>
      </c>
      <c r="W67">
        <f t="shared" si="11"/>
        <v>96480.00000000001</v>
      </c>
      <c r="X67">
        <f t="shared" si="11"/>
        <v>96480.00000000001</v>
      </c>
    </row>
    <row r="69" ht="12.75">
      <c r="A69" s="13" t="s">
        <v>17</v>
      </c>
    </row>
    <row r="70" ht="12.75">
      <c r="A70" s="6"/>
    </row>
    <row r="71" ht="12.75">
      <c r="A71" s="6"/>
    </row>
    <row r="72" ht="13.5" thickBot="1"/>
    <row r="73" spans="1:3" ht="15.75" thickBot="1">
      <c r="A73" s="20" t="s">
        <v>27</v>
      </c>
      <c r="B73" s="18" t="s">
        <v>7</v>
      </c>
      <c r="C73" s="16">
        <f>C58*1000</f>
        <v>871800</v>
      </c>
    </row>
    <row r="74" spans="1:3" ht="12.75">
      <c r="A74" s="7"/>
      <c r="B74" s="8"/>
      <c r="C74" s="3"/>
    </row>
    <row r="75" spans="1:3" ht="12.75">
      <c r="A75" s="7"/>
      <c r="B75" s="8"/>
      <c r="C75" s="3"/>
    </row>
    <row r="76" spans="1:3" ht="12.75">
      <c r="A76" s="7"/>
      <c r="B76" s="8"/>
      <c r="C76" s="3"/>
    </row>
    <row r="77" spans="1:3" ht="12.75">
      <c r="A77" s="7"/>
      <c r="B77" s="8"/>
      <c r="C77" s="3"/>
    </row>
    <row r="78" ht="13.5" thickBot="1"/>
    <row r="79" spans="1:3" ht="17.25" thickBot="1" thickTop="1">
      <c r="A79" s="38" t="s">
        <v>8</v>
      </c>
      <c r="B79" s="39" t="s">
        <v>9</v>
      </c>
      <c r="C79" s="63">
        <f>IF(C73&gt;0,C31*100/C73*C29/100/(1-POWER(1+C29/100,-C28)),"")</f>
        <v>28.71139761109953</v>
      </c>
    </row>
    <row r="80" ht="13.5" thickTop="1"/>
  </sheetData>
  <sheetProtection/>
  <mergeCells count="20">
    <mergeCell ref="A13:C13"/>
    <mergeCell ref="A6:I6"/>
    <mergeCell ref="A7:C7"/>
    <mergeCell ref="A8:C8"/>
    <mergeCell ref="A16:C16"/>
    <mergeCell ref="A17:C17"/>
    <mergeCell ref="A9:C9"/>
    <mergeCell ref="A10:C10"/>
    <mergeCell ref="A11:C11"/>
    <mergeCell ref="A12:C12"/>
    <mergeCell ref="A2:E2"/>
    <mergeCell ref="A1:E1"/>
    <mergeCell ref="A14:C14"/>
    <mergeCell ref="A15:C15"/>
    <mergeCell ref="A20:C20"/>
    <mergeCell ref="A23:C23"/>
    <mergeCell ref="A18:C18"/>
    <mergeCell ref="A19:C19"/>
    <mergeCell ref="A21:C21"/>
    <mergeCell ref="A22:C22"/>
  </mergeCells>
  <printOptions gridLines="1"/>
  <pageMargins left="0.99" right="0.45" top="0.73" bottom="0.65" header="0.5" footer="0.5"/>
  <pageSetup fitToHeight="1" fitToWidth="1" horizontalDpi="200" verticalDpi="200" orientation="portrait" scale="5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Rimas</dc:creator>
  <cp:keywords/>
  <dc:description/>
  <cp:lastModifiedBy>Vilma Kavaliova</cp:lastModifiedBy>
  <cp:lastPrinted>2011-06-26T22:07:37Z</cp:lastPrinted>
  <dcterms:created xsi:type="dcterms:W3CDTF">2011-01-13T11:46:47Z</dcterms:created>
  <dcterms:modified xsi:type="dcterms:W3CDTF">2021-12-30T07:23:26Z</dcterms:modified>
  <cp:category/>
  <cp:version/>
  <cp:contentType/>
  <cp:contentStatus/>
</cp:coreProperties>
</file>